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80" yWindow="1410" windowWidth="19155" windowHeight="7950" firstSheet="1" activeTab="6"/>
  </bookViews>
  <sheets>
    <sheet name="(BÀI MẪU)" sheetId="15" r:id="rId1"/>
    <sheet name="30" sheetId="16" r:id="rId2"/>
    <sheet name="31" sheetId="17" r:id="rId3"/>
    <sheet name="32" sheetId="18" r:id="rId4"/>
    <sheet name="34" sheetId="19" r:id="rId5"/>
    <sheet name="35-1" sheetId="29" r:id="rId6"/>
    <sheet name="37" sheetId="21" r:id="rId7"/>
    <sheet name="39" sheetId="23" r:id="rId8"/>
    <sheet name="40" sheetId="22" r:id="rId9"/>
    <sheet name="35-2" sheetId="20" r:id="rId10"/>
    <sheet name="41" sheetId="12" r:id="rId11"/>
    <sheet name="43(SUBTOTAL)" sheetId="10" r:id="rId12"/>
    <sheet name="45" sheetId="24" r:id="rId13"/>
    <sheet name="47(TIỀN PHÒNG)" sheetId="25" r:id="rId14"/>
    <sheet name=" 68" sheetId="2" r:id="rId15"/>
    <sheet name="49-50" sheetId="3" r:id="rId16"/>
    <sheet name="47" sheetId="26" r:id="rId17"/>
    <sheet name="48" sheetId="7" r:id="rId18"/>
    <sheet name="51" sheetId="27" r:id="rId19"/>
    <sheet name="30(XONG)" sheetId="8" r:id="rId20"/>
    <sheet name="41(CHƯA)" sheetId="11" r:id="rId21"/>
    <sheet name="46(SỬA)" sheetId="13" r:id="rId22"/>
    <sheet name="46(XONG)" sheetId="14" r:id="rId23"/>
  </sheets>
  <definedNames>
    <definedName name="_xlnm._FilterDatabase" localSheetId="4" hidden="1">'34'!$A$2:$J$14</definedName>
    <definedName name="_xlnm._FilterDatabase" localSheetId="10" hidden="1">'41'!$A$1:$N$17</definedName>
    <definedName name="_xlnm._FilterDatabase" localSheetId="20" hidden="1">'41(CHƯA)'!$A$1:$N$17</definedName>
    <definedName name="_xlnm._FilterDatabase" localSheetId="17" hidden="1">'48'!$A$3:$H$12</definedName>
    <definedName name="_xlnm._FilterDatabase" localSheetId="15" hidden="1">'49-50'!$A$2:$L$10</definedName>
  </definedNames>
  <calcPr calcId="144525"/>
  <pivotCaches>
    <pivotCache cacheId="2" r:id="rId24"/>
  </pivotCaches>
</workbook>
</file>

<file path=xl/calcChain.xml><?xml version="1.0" encoding="utf-8"?>
<calcChain xmlns="http://schemas.openxmlformats.org/spreadsheetml/2006/main">
  <c r="F8" i="16" l="1"/>
  <c r="G8" i="16" s="1"/>
  <c r="G7" i="16"/>
  <c r="F7" i="16"/>
  <c r="G6" i="16"/>
  <c r="F6" i="16"/>
  <c r="G5" i="16"/>
  <c r="F5" i="16"/>
  <c r="G4" i="16"/>
  <c r="F4" i="16"/>
  <c r="G3" i="16"/>
  <c r="F3" i="16"/>
  <c r="I12" i="15"/>
  <c r="G12" i="15"/>
  <c r="F12" i="15"/>
  <c r="J12" i="15" s="1"/>
  <c r="G11" i="15"/>
  <c r="F11" i="15"/>
  <c r="I11" i="15" s="1"/>
  <c r="I10" i="15"/>
  <c r="G10" i="15"/>
  <c r="F10" i="15"/>
  <c r="J10" i="15" s="1"/>
  <c r="G9" i="15"/>
  <c r="F9" i="15"/>
  <c r="I9" i="15" s="1"/>
  <c r="I8" i="15"/>
  <c r="G8" i="15"/>
  <c r="F8" i="15"/>
  <c r="J8" i="15" s="1"/>
  <c r="G7" i="15"/>
  <c r="F7" i="15"/>
  <c r="I7" i="15" s="1"/>
  <c r="I6" i="15"/>
  <c r="G6" i="15"/>
  <c r="F6" i="15"/>
  <c r="J6" i="15" s="1"/>
  <c r="G5" i="15"/>
  <c r="F5" i="15"/>
  <c r="J17" i="15" s="1"/>
  <c r="J15" i="15" l="1"/>
  <c r="H5" i="15"/>
  <c r="J5" i="15"/>
  <c r="H7" i="15"/>
  <c r="J7" i="15"/>
  <c r="H9" i="15"/>
  <c r="J9" i="15"/>
  <c r="H11" i="15"/>
  <c r="J11" i="15"/>
  <c r="J16" i="15"/>
  <c r="J18" i="15"/>
  <c r="I5" i="15"/>
  <c r="J14" i="15" s="1"/>
  <c r="H6" i="15"/>
  <c r="H8" i="15"/>
  <c r="H10" i="15"/>
  <c r="H12" i="15"/>
  <c r="F19" i="14" l="1"/>
  <c r="E19" i="14"/>
  <c r="F18" i="14"/>
  <c r="E18" i="14"/>
  <c r="H17" i="14"/>
  <c r="F17" i="14"/>
  <c r="E17" i="14"/>
  <c r="F16" i="14"/>
  <c r="H16" i="14" s="1"/>
  <c r="E16" i="14"/>
  <c r="H15" i="14"/>
  <c r="H19" i="14" s="1"/>
  <c r="F15" i="14"/>
  <c r="E15" i="14"/>
  <c r="F14" i="14"/>
  <c r="H14" i="14" s="1"/>
  <c r="E14" i="14"/>
  <c r="H13" i="14"/>
  <c r="F13" i="14"/>
  <c r="E13" i="14"/>
  <c r="F12" i="14"/>
  <c r="H12" i="14" s="1"/>
  <c r="E12" i="14"/>
  <c r="H11" i="14"/>
  <c r="F11" i="14"/>
  <c r="E11" i="14"/>
  <c r="F10" i="14"/>
  <c r="H10" i="14" s="1"/>
  <c r="E10" i="14"/>
  <c r="H9" i="14"/>
  <c r="F9" i="14"/>
  <c r="E9" i="14"/>
  <c r="L8" i="14"/>
  <c r="H8" i="14"/>
  <c r="F8" i="14"/>
  <c r="M11" i="14" s="1" a="1"/>
  <c r="M11" i="14" s="1"/>
  <c r="E8" i="14"/>
  <c r="H18" i="14" l="1"/>
  <c r="K10" i="14" a="1"/>
  <c r="K10" i="14" s="1"/>
  <c r="L10" i="14" a="1"/>
  <c r="L10" i="14" s="1"/>
  <c r="M10" i="14" a="1"/>
  <c r="M10" i="14" s="1"/>
  <c r="K8" i="14"/>
  <c r="M8" i="14"/>
  <c r="K9" i="14" a="1"/>
  <c r="K9" i="14" s="1"/>
  <c r="L9" i="14" a="1"/>
  <c r="L9" i="14" s="1"/>
  <c r="M9" i="14" a="1"/>
  <c r="M9" i="14" s="1"/>
  <c r="K11" i="14" a="1"/>
  <c r="K11" i="14" s="1"/>
  <c r="L11" i="14" a="1"/>
  <c r="L11" i="14" s="1"/>
  <c r="L5" i="7"/>
  <c r="L6" i="7"/>
  <c r="L7" i="7"/>
  <c r="L8" i="7"/>
  <c r="L9" i="7"/>
  <c r="L10" i="7"/>
  <c r="L11" i="7"/>
  <c r="L12" i="7"/>
  <c r="E26" i="13" l="1"/>
  <c r="E27" i="13"/>
  <c r="E25" i="13"/>
  <c r="D25" i="13"/>
  <c r="F9" i="13"/>
  <c r="F10" i="13"/>
  <c r="D27" i="13" s="1"/>
  <c r="F12" i="13"/>
  <c r="F14" i="13"/>
  <c r="F16" i="13"/>
  <c r="F18" i="13"/>
  <c r="F19" i="13"/>
  <c r="F24" i="13" l="1"/>
  <c r="E24" i="13"/>
  <c r="D24" i="13"/>
  <c r="D26" i="13"/>
  <c r="H9" i="13"/>
  <c r="H10" i="13"/>
  <c r="H11" i="13"/>
  <c r="H12" i="13"/>
  <c r="H13" i="13"/>
  <c r="H14" i="13"/>
  <c r="H15" i="13"/>
  <c r="H16" i="13"/>
  <c r="H17" i="13"/>
  <c r="H18" i="13"/>
  <c r="H19" i="13"/>
  <c r="H8" i="13"/>
  <c r="E9" i="13"/>
  <c r="E10" i="13"/>
  <c r="E11" i="13"/>
  <c r="E12" i="13"/>
  <c r="E13" i="13"/>
  <c r="E14" i="13"/>
  <c r="E15" i="13"/>
  <c r="E16" i="13"/>
  <c r="E17" i="13"/>
  <c r="E18" i="13"/>
  <c r="E19" i="13"/>
  <c r="E8" i="13"/>
  <c r="M17" i="12"/>
  <c r="L17" i="12"/>
  <c r="I17" i="12"/>
  <c r="H17" i="12"/>
  <c r="D17" i="12"/>
  <c r="M16" i="12"/>
  <c r="L16" i="12"/>
  <c r="I16" i="12"/>
  <c r="H16" i="12"/>
  <c r="D16" i="12"/>
  <c r="M15" i="12"/>
  <c r="L15" i="12"/>
  <c r="I15" i="12"/>
  <c r="H15" i="12"/>
  <c r="D15" i="12"/>
  <c r="M14" i="12"/>
  <c r="L14" i="12"/>
  <c r="I14" i="12"/>
  <c r="H14" i="12"/>
  <c r="D14" i="12"/>
  <c r="M13" i="12"/>
  <c r="L13" i="12"/>
  <c r="I13" i="12"/>
  <c r="H13" i="12"/>
  <c r="D13" i="12"/>
  <c r="M12" i="12"/>
  <c r="L12" i="12"/>
  <c r="I12" i="12"/>
  <c r="H12" i="12"/>
  <c r="D12" i="12"/>
  <c r="M11" i="12"/>
  <c r="L11" i="12"/>
  <c r="I11" i="12"/>
  <c r="H11" i="12"/>
  <c r="D11" i="12"/>
  <c r="M10" i="12"/>
  <c r="L10" i="12"/>
  <c r="I10" i="12"/>
  <c r="H10" i="12"/>
  <c r="D10" i="12"/>
  <c r="M9" i="12"/>
  <c r="L9" i="12"/>
  <c r="I9" i="12"/>
  <c r="H9" i="12"/>
  <c r="D9" i="12"/>
  <c r="M8" i="12"/>
  <c r="L8" i="12"/>
  <c r="I8" i="12"/>
  <c r="H8" i="12"/>
  <c r="D8" i="12"/>
  <c r="M7" i="12"/>
  <c r="L7" i="12"/>
  <c r="I7" i="12"/>
  <c r="H7" i="12"/>
  <c r="D7" i="12"/>
  <c r="M6" i="12"/>
  <c r="L6" i="12"/>
  <c r="I6" i="12"/>
  <c r="H6" i="12"/>
  <c r="D6" i="12"/>
  <c r="M5" i="12"/>
  <c r="L5" i="12"/>
  <c r="I5" i="12"/>
  <c r="H5" i="12"/>
  <c r="D5" i="12"/>
  <c r="M4" i="12"/>
  <c r="L4" i="12"/>
  <c r="I4" i="12"/>
  <c r="H4" i="12"/>
  <c r="D4" i="12"/>
  <c r="M3" i="12"/>
  <c r="L3" i="12"/>
  <c r="I3" i="12"/>
  <c r="H3" i="12"/>
  <c r="D3" i="12"/>
  <c r="M3" i="11"/>
  <c r="M10" i="11"/>
  <c r="M11" i="11"/>
  <c r="M14" i="11"/>
  <c r="M15" i="11"/>
  <c r="M12" i="11"/>
  <c r="M7" i="11"/>
  <c r="M4" i="11"/>
  <c r="M13" i="11"/>
  <c r="M17" i="11"/>
  <c r="M8" i="11"/>
  <c r="M5" i="11"/>
  <c r="M6" i="11"/>
  <c r="M16" i="11"/>
  <c r="M9" i="11"/>
  <c r="L3" i="11"/>
  <c r="L10" i="11"/>
  <c r="L11" i="11"/>
  <c r="L14" i="11"/>
  <c r="L15" i="11"/>
  <c r="L12" i="11"/>
  <c r="L7" i="11"/>
  <c r="L4" i="11"/>
  <c r="L13" i="11"/>
  <c r="L17" i="11"/>
  <c r="L8" i="11"/>
  <c r="L5" i="11"/>
  <c r="L6" i="11"/>
  <c r="L16" i="11"/>
  <c r="L9" i="11"/>
  <c r="I3" i="11" l="1"/>
  <c r="I10" i="11"/>
  <c r="I11" i="11"/>
  <c r="I14" i="11"/>
  <c r="I15" i="11"/>
  <c r="I12" i="11"/>
  <c r="I7" i="11"/>
  <c r="I4" i="11"/>
  <c r="I13" i="11"/>
  <c r="I17" i="11"/>
  <c r="I8" i="11"/>
  <c r="I5" i="11"/>
  <c r="I6" i="11"/>
  <c r="I16" i="11"/>
  <c r="I9" i="11"/>
  <c r="H3" i="11"/>
  <c r="H10" i="11"/>
  <c r="H11" i="11"/>
  <c r="H14" i="11"/>
  <c r="H15" i="11"/>
  <c r="H12" i="11"/>
  <c r="H7" i="11"/>
  <c r="H4" i="11"/>
  <c r="H13" i="11"/>
  <c r="H17" i="11"/>
  <c r="H8" i="11"/>
  <c r="H5" i="11"/>
  <c r="H6" i="11"/>
  <c r="H16" i="11"/>
  <c r="H9" i="11"/>
  <c r="D3" i="11"/>
  <c r="D10" i="11"/>
  <c r="D11" i="11"/>
  <c r="D14" i="11"/>
  <c r="D15" i="11"/>
  <c r="D12" i="11"/>
  <c r="D7" i="11"/>
  <c r="D4" i="11"/>
  <c r="D13" i="11"/>
  <c r="D17" i="11"/>
  <c r="D8" i="11"/>
  <c r="D5" i="11"/>
  <c r="D6" i="11"/>
  <c r="D16" i="11"/>
  <c r="D9" i="11"/>
  <c r="M18" i="10"/>
  <c r="G18" i="10"/>
  <c r="M11" i="10"/>
  <c r="G11" i="10"/>
  <c r="L29" i="10"/>
  <c r="J30" i="10"/>
  <c r="K30" i="10"/>
  <c r="L30" i="10"/>
  <c r="J31" i="10"/>
  <c r="K31" i="10"/>
  <c r="L31" i="10"/>
  <c r="L28" i="10"/>
  <c r="L20" i="10"/>
  <c r="J20" i="10"/>
  <c r="K20" i="10" s="1"/>
  <c r="L17" i="10"/>
  <c r="J17" i="10"/>
  <c r="K17" i="10" s="1"/>
  <c r="L10" i="10"/>
  <c r="J10" i="10"/>
  <c r="K10" i="10" s="1"/>
  <c r="L15" i="10"/>
  <c r="J15" i="10"/>
  <c r="K15" i="10" s="1"/>
  <c r="L19" i="10"/>
  <c r="J19" i="10"/>
  <c r="K19" i="10" s="1"/>
  <c r="L7" i="10"/>
  <c r="J7" i="10"/>
  <c r="K7" i="10" s="1"/>
  <c r="L14" i="10"/>
  <c r="J14" i="10"/>
  <c r="K14" i="10" s="1"/>
  <c r="L6" i="10"/>
  <c r="J6" i="10"/>
  <c r="K6" i="10" s="1"/>
  <c r="L16" i="10"/>
  <c r="J16" i="10"/>
  <c r="K16" i="10" s="1"/>
  <c r="L22" i="10"/>
  <c r="J22" i="10"/>
  <c r="K22" i="10" s="1"/>
  <c r="L9" i="10"/>
  <c r="J9" i="10"/>
  <c r="K9" i="10" s="1"/>
  <c r="L21" i="10"/>
  <c r="J21" i="10"/>
  <c r="K21" i="10" s="1"/>
  <c r="L13" i="10"/>
  <c r="J13" i="10"/>
  <c r="K13" i="10" s="1"/>
  <c r="L12" i="10"/>
  <c r="J12" i="10"/>
  <c r="K12" i="10" s="1"/>
  <c r="L8" i="10"/>
  <c r="J8" i="10"/>
  <c r="K8" i="10" s="1"/>
  <c r="M8" i="10" l="1"/>
  <c r="M12" i="10"/>
  <c r="M13" i="10"/>
  <c r="M21" i="10"/>
  <c r="M9" i="10"/>
  <c r="M22" i="10"/>
  <c r="M16" i="10"/>
  <c r="K29" i="10" s="1"/>
  <c r="M6" i="10"/>
  <c r="M14" i="10"/>
  <c r="M7" i="10"/>
  <c r="M19" i="10"/>
  <c r="M15" i="10"/>
  <c r="M10" i="10"/>
  <c r="M17" i="10"/>
  <c r="M20" i="10"/>
  <c r="J28" i="10" l="1"/>
  <c r="K28" i="10"/>
  <c r="J29" i="10"/>
  <c r="F7" i="8"/>
  <c r="G7" i="8" s="1"/>
  <c r="F3" i="8"/>
  <c r="G3" i="8" s="1"/>
  <c r="F4" i="8"/>
  <c r="G4" i="8" s="1"/>
  <c r="F5" i="8"/>
  <c r="G5" i="8" s="1"/>
  <c r="F6" i="8"/>
  <c r="G6" i="8" s="1"/>
  <c r="F8" i="8"/>
  <c r="G8" i="8" s="1"/>
  <c r="G24" i="7" l="1"/>
  <c r="G23" i="7"/>
  <c r="E24" i="7"/>
  <c r="E23" i="7"/>
  <c r="H5" i="7"/>
  <c r="H6" i="7"/>
  <c r="H7" i="7"/>
  <c r="H8" i="7"/>
  <c r="H9" i="7"/>
  <c r="H10" i="7"/>
  <c r="H11" i="7"/>
  <c r="H12" i="7"/>
  <c r="H4" i="7"/>
  <c r="C5" i="7"/>
  <c r="I5" i="7" s="1"/>
  <c r="J5" i="7" s="1"/>
  <c r="K5" i="7" s="1"/>
  <c r="C6" i="7"/>
  <c r="I6" i="7" s="1"/>
  <c r="J6" i="7" s="1"/>
  <c r="C7" i="7"/>
  <c r="I7" i="7" s="1"/>
  <c r="J7" i="7" s="1"/>
  <c r="K7" i="7" s="1"/>
  <c r="C8" i="7"/>
  <c r="C10" i="7"/>
  <c r="I10" i="7" s="1"/>
  <c r="J10" i="7" s="1"/>
  <c r="C11" i="7"/>
  <c r="I11" i="7" s="1"/>
  <c r="J11" i="7" s="1"/>
  <c r="C12" i="7"/>
  <c r="I12" i="7" s="1"/>
  <c r="J12" i="7" s="1"/>
  <c r="C4" i="7"/>
  <c r="I4" i="7" s="1"/>
  <c r="J4" i="7" s="1"/>
  <c r="C27" i="3"/>
  <c r="D27" i="3"/>
  <c r="E27" i="3"/>
  <c r="F27" i="3"/>
  <c r="G27" i="3"/>
  <c r="B27" i="3"/>
  <c r="C26" i="3"/>
  <c r="D26" i="3"/>
  <c r="E26" i="3"/>
  <c r="F26" i="3"/>
  <c r="G26" i="3"/>
  <c r="B26" i="3"/>
  <c r="M4" i="3"/>
  <c r="M5" i="3"/>
  <c r="M6" i="3"/>
  <c r="M7" i="3"/>
  <c r="M8" i="3"/>
  <c r="M9" i="3"/>
  <c r="M3" i="3"/>
  <c r="K3" i="3"/>
  <c r="K4" i="3"/>
  <c r="K5" i="3"/>
  <c r="K6" i="3"/>
  <c r="K7" i="3"/>
  <c r="K8" i="3"/>
  <c r="K9" i="3"/>
  <c r="C22" i="3"/>
  <c r="D22" i="3"/>
  <c r="E22" i="3"/>
  <c r="F22" i="3"/>
  <c r="G22" i="3"/>
  <c r="B22" i="3"/>
  <c r="H4" i="3"/>
  <c r="H5" i="3"/>
  <c r="H6" i="3"/>
  <c r="H7" i="3"/>
  <c r="H8" i="3"/>
  <c r="H9" i="3"/>
  <c r="H3" i="3"/>
  <c r="I8" i="7" l="1"/>
  <c r="J8" i="7" s="1"/>
  <c r="K8" i="7" s="1"/>
  <c r="K4" i="7"/>
  <c r="K11" i="7"/>
  <c r="K12" i="7"/>
  <c r="K10" i="7"/>
  <c r="K6" i="7"/>
  <c r="I9" i="7"/>
  <c r="J9" i="7" s="1"/>
  <c r="K9" i="7" s="1"/>
  <c r="E6" i="3"/>
  <c r="E8" i="3"/>
  <c r="E9" i="3"/>
  <c r="E5" i="3"/>
  <c r="E3" i="3"/>
  <c r="E4" i="3"/>
  <c r="E7" i="3"/>
  <c r="D6" i="3"/>
  <c r="F6" i="3" s="1"/>
  <c r="G6" i="3" s="1"/>
  <c r="D8" i="3"/>
  <c r="D9" i="3"/>
  <c r="F9" i="3" s="1"/>
  <c r="G9" i="3" s="1"/>
  <c r="D5" i="3"/>
  <c r="D3" i="3"/>
  <c r="D4" i="3"/>
  <c r="D7" i="3"/>
  <c r="F7" i="3" s="1"/>
  <c r="G7" i="3" s="1"/>
  <c r="L7" i="3" l="1"/>
  <c r="I7" i="3" s="1"/>
  <c r="F3" i="3"/>
  <c r="G3" i="3" s="1"/>
  <c r="H18" i="3"/>
  <c r="H17" i="3"/>
  <c r="L6" i="3"/>
  <c r="I6" i="3" s="1"/>
  <c r="L9" i="3"/>
  <c r="I9" i="3" s="1"/>
  <c r="F4" i="3"/>
  <c r="G4" i="3" s="1"/>
  <c r="F5" i="3"/>
  <c r="G5" i="3" s="1"/>
  <c r="F8" i="3"/>
  <c r="G8" i="3" s="1"/>
  <c r="J18" i="2"/>
  <c r="K18" i="2"/>
  <c r="L18" i="2"/>
  <c r="I18" i="2"/>
  <c r="X10" i="2"/>
  <c r="X11" i="2"/>
  <c r="X4" i="2"/>
  <c r="X5" i="2"/>
  <c r="X6" i="2"/>
  <c r="X7" i="2"/>
  <c r="X8" i="2"/>
  <c r="X9" i="2"/>
  <c r="V4" i="2"/>
  <c r="V5" i="2"/>
  <c r="V6" i="2"/>
  <c r="V7" i="2"/>
  <c r="V8" i="2"/>
  <c r="V9" i="2"/>
  <c r="V10" i="2"/>
  <c r="V11" i="2"/>
  <c r="V3" i="2"/>
  <c r="W3" i="2"/>
  <c r="W4" i="2"/>
  <c r="W5" i="2"/>
  <c r="W6" i="2"/>
  <c r="W7" i="2"/>
  <c r="W8" i="2"/>
  <c r="W9" i="2"/>
  <c r="W10" i="2"/>
  <c r="W11" i="2"/>
  <c r="O4" i="2"/>
  <c r="O5" i="2"/>
  <c r="O6" i="2"/>
  <c r="O7" i="2"/>
  <c r="O8" i="2"/>
  <c r="O9" i="2"/>
  <c r="O10" i="2"/>
  <c r="O11" i="2"/>
  <c r="O3" i="2"/>
  <c r="T3" i="2" s="1"/>
  <c r="T4" i="2"/>
  <c r="T5" i="2"/>
  <c r="T6" i="2"/>
  <c r="T7" i="2"/>
  <c r="T8" i="2"/>
  <c r="T9" i="2"/>
  <c r="T10" i="2"/>
  <c r="S10" i="2" s="1"/>
  <c r="T11" i="2"/>
  <c r="R4" i="2"/>
  <c r="R5" i="2"/>
  <c r="R6" i="2"/>
  <c r="R7" i="2"/>
  <c r="R8" i="2"/>
  <c r="R9" i="2"/>
  <c r="R10" i="2"/>
  <c r="R11" i="2"/>
  <c r="R3" i="2"/>
  <c r="Q4" i="2"/>
  <c r="Q5" i="2"/>
  <c r="Q6" i="2"/>
  <c r="Q7" i="2"/>
  <c r="Q8" i="2"/>
  <c r="Q9" i="2"/>
  <c r="Q10" i="2"/>
  <c r="Q11" i="2"/>
  <c r="Q3" i="2"/>
  <c r="P4" i="2"/>
  <c r="P5" i="2"/>
  <c r="P6" i="2"/>
  <c r="P7" i="2"/>
  <c r="P8" i="2"/>
  <c r="P9" i="2"/>
  <c r="P10" i="2"/>
  <c r="P11" i="2"/>
  <c r="P3" i="2"/>
  <c r="N4" i="2"/>
  <c r="N5" i="2"/>
  <c r="N6" i="2"/>
  <c r="N7" i="2"/>
  <c r="N8" i="2"/>
  <c r="N9" i="2"/>
  <c r="N10" i="2"/>
  <c r="N11" i="2"/>
  <c r="N3" i="2"/>
  <c r="M9" i="2"/>
  <c r="M6" i="2"/>
  <c r="M10" i="2"/>
  <c r="M3" i="2"/>
  <c r="M11" i="2"/>
  <c r="M8" i="2"/>
  <c r="M4" i="2"/>
  <c r="M5" i="2"/>
  <c r="M7" i="2"/>
  <c r="D7" i="2"/>
  <c r="E7" i="2"/>
  <c r="F7" i="2"/>
  <c r="G7" i="2"/>
  <c r="I7" i="2"/>
  <c r="J7" i="2"/>
  <c r="D9" i="2"/>
  <c r="E9" i="2"/>
  <c r="F9" i="2"/>
  <c r="G9" i="2"/>
  <c r="I9" i="2"/>
  <c r="J9" i="2"/>
  <c r="D6" i="2"/>
  <c r="E6" i="2"/>
  <c r="F6" i="2"/>
  <c r="G6" i="2"/>
  <c r="I6" i="2"/>
  <c r="J6" i="2"/>
  <c r="D10" i="2"/>
  <c r="E10" i="2"/>
  <c r="F10" i="2"/>
  <c r="G10" i="2"/>
  <c r="I10" i="2"/>
  <c r="J10" i="2"/>
  <c r="D3" i="2"/>
  <c r="E3" i="2"/>
  <c r="F3" i="2"/>
  <c r="G3" i="2"/>
  <c r="I3" i="2"/>
  <c r="J3" i="2"/>
  <c r="D11" i="2"/>
  <c r="E11" i="2"/>
  <c r="F11" i="2"/>
  <c r="G11" i="2"/>
  <c r="I11" i="2"/>
  <c r="J11" i="2"/>
  <c r="D8" i="2"/>
  <c r="E8" i="2"/>
  <c r="F8" i="2"/>
  <c r="G8" i="2"/>
  <c r="K8" i="2" s="1"/>
  <c r="L8" i="2" s="1"/>
  <c r="I8" i="2"/>
  <c r="J8" i="2"/>
  <c r="D4" i="2"/>
  <c r="E4" i="2"/>
  <c r="F4" i="2"/>
  <c r="G4" i="2"/>
  <c r="I4" i="2"/>
  <c r="J4" i="2"/>
  <c r="K4" i="2"/>
  <c r="L4" i="2" s="1"/>
  <c r="D5" i="2"/>
  <c r="E5" i="2"/>
  <c r="F5" i="2"/>
  <c r="G5" i="2"/>
  <c r="K5" i="2" s="1"/>
  <c r="L5" i="2" s="1"/>
  <c r="I5" i="2"/>
  <c r="J5" i="2"/>
  <c r="L5" i="3" l="1"/>
  <c r="I5" i="3" s="1"/>
  <c r="L3" i="3"/>
  <c r="I3" i="3" s="1"/>
  <c r="L8" i="3"/>
  <c r="I8" i="3" s="1"/>
  <c r="L4" i="3"/>
  <c r="I4" i="3" s="1"/>
  <c r="S8" i="2"/>
  <c r="U8" i="2" s="1"/>
  <c r="S6" i="2"/>
  <c r="U6" i="2" s="1"/>
  <c r="S4" i="2"/>
  <c r="U4" i="2" s="1"/>
  <c r="X3" i="2" s="1"/>
  <c r="U10" i="2"/>
  <c r="S11" i="2"/>
  <c r="U11" i="2" s="1"/>
  <c r="S9" i="2"/>
  <c r="U9" i="2" s="1"/>
  <c r="S7" i="2"/>
  <c r="U7" i="2" s="1"/>
  <c r="S5" i="2"/>
  <c r="U5" i="2" s="1"/>
  <c r="S3" i="2"/>
  <c r="U3" i="2" s="1"/>
  <c r="K11" i="2"/>
  <c r="L11" i="2" s="1"/>
  <c r="K3" i="2"/>
  <c r="K10" i="2"/>
  <c r="K6" i="2"/>
  <c r="L6" i="2" s="1"/>
  <c r="K9" i="2"/>
  <c r="K7" i="2"/>
  <c r="L3" i="2"/>
  <c r="L17" i="2"/>
  <c r="L10" i="2"/>
  <c r="K17" i="2"/>
  <c r="L9" i="2"/>
  <c r="J17" i="2"/>
  <c r="L7" i="2"/>
  <c r="I17" i="2"/>
  <c r="I18" i="3" l="1"/>
  <c r="I17" i="3"/>
</calcChain>
</file>

<file path=xl/sharedStrings.xml><?xml version="1.0" encoding="utf-8"?>
<sst xmlns="http://schemas.openxmlformats.org/spreadsheetml/2006/main" count="821" uniqueCount="441">
  <si>
    <t>TÊN HÀNG</t>
  </si>
  <si>
    <t>SỐ LƯỢNG</t>
  </si>
  <si>
    <t>THÀNH TIỀN</t>
  </si>
  <si>
    <t>BẢNG TÊN HÀNG</t>
  </si>
  <si>
    <t>BẢNG THỐNG KÊ</t>
  </si>
  <si>
    <t>MÃ HÀNG</t>
  </si>
  <si>
    <t>TỔNG TÀNH TIỀN</t>
  </si>
  <si>
    <t>CƠ KHÍ</t>
  </si>
  <si>
    <t>CK</t>
  </si>
  <si>
    <t>VI TÍNH</t>
  </si>
  <si>
    <t>GIA DỤNG</t>
  </si>
  <si>
    <t>ĐIỆN TỬ</t>
  </si>
  <si>
    <t>VT</t>
  </si>
  <si>
    <t>GD</t>
  </si>
  <si>
    <t>TỶ LỆ TIỀN CỌC</t>
  </si>
  <si>
    <t>ĐT</t>
  </si>
  <si>
    <t>ĐỢT NHẬP</t>
  </si>
  <si>
    <t>GIÁ RỜI</t>
  </si>
  <si>
    <t>GIÁ LÔ</t>
  </si>
  <si>
    <t>BẢNG TỈ LỆ</t>
  </si>
  <si>
    <t>CHÂU</t>
  </si>
  <si>
    <t>ĐT3X</t>
  </si>
  <si>
    <t>AN</t>
  </si>
  <si>
    <t>CK2N</t>
  </si>
  <si>
    <t>PHƯƠNG</t>
  </si>
  <si>
    <t>GD3X</t>
  </si>
  <si>
    <t>THANH</t>
  </si>
  <si>
    <t>VT1N</t>
  </si>
  <si>
    <t>MINH</t>
  </si>
  <si>
    <t>CK1N</t>
  </si>
  <si>
    <t>TRÚC</t>
  </si>
  <si>
    <t>VT3X</t>
  </si>
  <si>
    <t>NAM</t>
  </si>
  <si>
    <t>ĐT2N</t>
  </si>
  <si>
    <t>HOA</t>
  </si>
  <si>
    <t>GD2N</t>
  </si>
  <si>
    <t>MAI</t>
  </si>
  <si>
    <t>ĐT1X</t>
  </si>
  <si>
    <t>TIỀN CỌC</t>
  </si>
  <si>
    <t>SỐ HÀNG RỜI</t>
  </si>
  <si>
    <t>SỐ LÔ HÀNG</t>
  </si>
  <si>
    <t>LOẠI HÀNG</t>
  </si>
  <si>
    <t>TÊN CHỦ HÀNG</t>
  </si>
  <si>
    <t>MÃ HĐ</t>
  </si>
  <si>
    <t>BẢNG THEO DÕI HÀNG HÓA</t>
  </si>
  <si>
    <t xml:space="preserve">giảm giá </t>
  </si>
  <si>
    <t>thành tiền</t>
  </si>
  <si>
    <t>thanh tien</t>
  </si>
  <si>
    <t>BẢNG THANH TOÁN TIỀN SÁCH</t>
  </si>
  <si>
    <t>STT</t>
  </si>
  <si>
    <t xml:space="preserve">SỐ LƯỢNG </t>
  </si>
  <si>
    <t xml:space="preserve">LOẠI HÀNG </t>
  </si>
  <si>
    <t xml:space="preserve">ĐƠN GIÁ </t>
  </si>
  <si>
    <t xml:space="preserve">THÀNH TIỀN </t>
  </si>
  <si>
    <t xml:space="preserve">PHỤ THU </t>
  </si>
  <si>
    <t>TỔNG TIỀN</t>
  </si>
  <si>
    <t>Tổng cộng :</t>
  </si>
  <si>
    <t>G45F2</t>
  </si>
  <si>
    <t>V12L2</t>
  </si>
  <si>
    <t>N12F2</t>
  </si>
  <si>
    <t>T12D1</t>
  </si>
  <si>
    <t>H23D1</t>
  </si>
  <si>
    <t>V12X1</t>
  </si>
  <si>
    <t>K56F2</t>
  </si>
  <si>
    <t xml:space="preserve">BÀNG GIÁ </t>
  </si>
  <si>
    <t xml:space="preserve">MÃ HÀNG </t>
  </si>
  <si>
    <t>GIÁ 1</t>
  </si>
  <si>
    <t>GIÁ 2</t>
  </si>
  <si>
    <t>G</t>
  </si>
  <si>
    <t>H</t>
  </si>
  <si>
    <t>K</t>
  </si>
  <si>
    <t>N</t>
  </si>
  <si>
    <t>T</t>
  </si>
  <si>
    <t>V</t>
  </si>
  <si>
    <t>Sách giáo khoa</t>
  </si>
  <si>
    <t>Hồ sơ các loại</t>
  </si>
  <si>
    <t>Sách kỹ thuật</t>
  </si>
  <si>
    <t>Sách nghệ thuật</t>
  </si>
  <si>
    <t>Sách kinh tế</t>
  </si>
  <si>
    <t>Vở học sinh</t>
  </si>
  <si>
    <t>BẢNG TỔNG HỢP</t>
  </si>
  <si>
    <t>KÝ HIỆU</t>
  </si>
  <si>
    <t xml:space="preserve">% PHỤ THU </t>
  </si>
  <si>
    <t>D</t>
  </si>
  <si>
    <t>F</t>
  </si>
  <si>
    <t>L</t>
  </si>
  <si>
    <t>X</t>
  </si>
  <si>
    <t>BẢNG % PHỤ THU</t>
  </si>
  <si>
    <t>TỔNG SỐ LƯỢNG</t>
  </si>
  <si>
    <t xml:space="preserve">TỔNG TIỀN </t>
  </si>
  <si>
    <t>9.Thống kê tổng cuốn sách theo từng tên sách như bảng sau:</t>
  </si>
  <si>
    <t xml:space="preserve">Tổng </t>
  </si>
  <si>
    <t>10.THỐNG KÊ TỔNG THÀNH TIỀN THANH TOÁN CHO NHỮNG SÁCH CÓ SỐ LƯỢNG &gt;100</t>
  </si>
  <si>
    <t>BÀI 4</t>
  </si>
  <si>
    <t>SỐ BÁO DANH</t>
  </si>
  <si>
    <t>KHỐI THI</t>
  </si>
  <si>
    <t>ĐIỂM THI</t>
  </si>
  <si>
    <t xml:space="preserve">TOÁN </t>
  </si>
  <si>
    <t xml:space="preserve">LÝ </t>
  </si>
  <si>
    <t>HÓA</t>
  </si>
  <si>
    <t>SINH</t>
  </si>
  <si>
    <t>DIỆN ƯU TIÊN</t>
  </si>
  <si>
    <t xml:space="preserve">ĐIỂM ƯU TIÊN </t>
  </si>
  <si>
    <t xml:space="preserve">TỔNG ĐIỂM </t>
  </si>
  <si>
    <t xml:space="preserve">KẾT QUẢ </t>
  </si>
  <si>
    <t>HUIA001MN</t>
  </si>
  <si>
    <t>HUIA002VS</t>
  </si>
  <si>
    <t>HUIB001TP</t>
  </si>
  <si>
    <t>HUIA004LS</t>
  </si>
  <si>
    <t>HUIA003TP</t>
  </si>
  <si>
    <t>HUIA007TP</t>
  </si>
  <si>
    <t>HUIB010VS</t>
  </si>
  <si>
    <t>HUIAO1MN</t>
  </si>
  <si>
    <t>HUIA014TP</t>
  </si>
  <si>
    <t>BẢNG ƯU TIÊN KHU VỰC DỰ THI</t>
  </si>
  <si>
    <t>MN</t>
  </si>
  <si>
    <t>VS</t>
  </si>
  <si>
    <t>TP</t>
  </si>
  <si>
    <t>LS</t>
  </si>
  <si>
    <t>Miền núi</t>
  </si>
  <si>
    <t>Vùng sâu</t>
  </si>
  <si>
    <t>Thành phố</t>
  </si>
  <si>
    <t>Liệt sĩ</t>
  </si>
  <si>
    <t>Điểm ưu tiên</t>
  </si>
  <si>
    <t xml:space="preserve">BẢNG THỐNG KÊ </t>
  </si>
  <si>
    <t>A</t>
  </si>
  <si>
    <t>B</t>
  </si>
  <si>
    <t>SỐ HỌC SINH</t>
  </si>
  <si>
    <t xml:space="preserve">ĐẬU </t>
  </si>
  <si>
    <t xml:space="preserve">RỚT </t>
  </si>
  <si>
    <t>TỶ LỆ (%)</t>
  </si>
  <si>
    <t>THỦ KHOA</t>
  </si>
  <si>
    <t xml:space="preserve">XẾP HẠNG </t>
  </si>
  <si>
    <t xml:space="preserve">BẢNG TÍNH </t>
  </si>
  <si>
    <t>NGÀY BÁN</t>
  </si>
  <si>
    <t>ĐƠN GIÁ</t>
  </si>
  <si>
    <t>THÀNH TIỀN VNĐ</t>
  </si>
  <si>
    <t>X001</t>
  </si>
  <si>
    <t>T003</t>
  </si>
  <si>
    <t>C002</t>
  </si>
  <si>
    <t>G001</t>
  </si>
  <si>
    <t>N003</t>
  </si>
  <si>
    <t>S001</t>
  </si>
  <si>
    <t>BẢNG THANH TOÁN CÔNG TÁC PHÍ</t>
  </si>
  <si>
    <t>MÃ NV</t>
  </si>
  <si>
    <t>TÊN</t>
  </si>
  <si>
    <t>LCB</t>
  </si>
  <si>
    <t>CẤP BẬC</t>
  </si>
  <si>
    <t xml:space="preserve">TỪ NGÀY </t>
  </si>
  <si>
    <t xml:space="preserve">ĐẾN NGÀY </t>
  </si>
  <si>
    <t>ĐỊNH MỨC THANH TOÁN NGÀY</t>
  </si>
  <si>
    <t>TỐI THIỂU</t>
  </si>
  <si>
    <t>TỐI ĐA</t>
  </si>
  <si>
    <t>HỆ SỐ</t>
  </si>
  <si>
    <t xml:space="preserve">HỆ SỐ THỰC </t>
  </si>
  <si>
    <t>TIỀN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</si>
  <si>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</si>
  <si>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</si>
  <si>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</si>
  <si>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</si>
  <si>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</si>
  <si>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</si>
  <si>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</si>
  <si>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</si>
  <si>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</si>
  <si>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</si>
  <si>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</si>
  <si>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</si>
  <si>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</si>
  <si>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</si>
  <si>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</si>
  <si>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 xml:space="preserve">QUANG </t>
  </si>
  <si>
    <t xml:space="preserve">NGỌC </t>
  </si>
  <si>
    <t>VŨ</t>
  </si>
  <si>
    <t xml:space="preserve">TRẦN </t>
  </si>
  <si>
    <t xml:space="preserve">PHẠM </t>
  </si>
  <si>
    <t xml:space="preserve">NGUYỄN </t>
  </si>
  <si>
    <t xml:space="preserve">TRƯỜNG </t>
  </si>
  <si>
    <t xml:space="preserve">NGÔ </t>
  </si>
  <si>
    <t>SỬ</t>
  </si>
  <si>
    <t xml:space="preserve">HOÀNG </t>
  </si>
  <si>
    <t xml:space="preserve">DƯƠNG </t>
  </si>
  <si>
    <t xml:space="preserve">TỐNG </t>
  </si>
  <si>
    <t>TRIỀU</t>
  </si>
  <si>
    <t xml:space="preserve">LONG </t>
  </si>
  <si>
    <t xml:space="preserve">TẤN </t>
  </si>
  <si>
    <t>KS</t>
  </si>
  <si>
    <t>CN</t>
  </si>
  <si>
    <t>KT</t>
  </si>
  <si>
    <t>BẢNG HỆ SỐ CÔNG TÁC PHÍ</t>
  </si>
  <si>
    <t>HNI</t>
  </si>
  <si>
    <t>HUE</t>
  </si>
  <si>
    <t>SGN</t>
  </si>
  <si>
    <t>SNN</t>
  </si>
  <si>
    <t xml:space="preserve">GD </t>
  </si>
  <si>
    <t>HNI Total</t>
  </si>
  <si>
    <t>HUE Total</t>
  </si>
  <si>
    <t>ĐỊAĐIỂM</t>
  </si>
  <si>
    <t>KÊT QUẢ THI</t>
  </si>
  <si>
    <t>MÃ HS</t>
  </si>
  <si>
    <t>HỌ VÀ TÊN</t>
  </si>
  <si>
    <t>TÊN TRƯỜNG</t>
  </si>
  <si>
    <t>MÔN THI</t>
  </si>
  <si>
    <t>XẾP LOẠI</t>
  </si>
  <si>
    <t>XẾP HẠNG</t>
  </si>
  <si>
    <t>H01T</t>
  </si>
  <si>
    <t>D01V</t>
  </si>
  <si>
    <t>N02S</t>
  </si>
  <si>
    <t>V02T</t>
  </si>
  <si>
    <t>V01V</t>
  </si>
  <si>
    <t>H03T</t>
  </si>
  <si>
    <t>D03S</t>
  </si>
  <si>
    <t>D02V</t>
  </si>
  <si>
    <t>V03T</t>
  </si>
  <si>
    <t>N02T</t>
  </si>
  <si>
    <t>NGUYỄN VĂN AN</t>
  </si>
  <si>
    <t>LÊ THỊ BÊ</t>
  </si>
  <si>
    <t>HOÀNG ANH MINH</t>
  </si>
  <si>
    <t xml:space="preserve">LÊ HỮU KHƯƠNG </t>
  </si>
  <si>
    <t>LÊ THỊ LOAN</t>
  </si>
  <si>
    <t>TÔ BÁ THU</t>
  </si>
  <si>
    <t>HOÀNG VĂN BIỀN</t>
  </si>
  <si>
    <t xml:space="preserve">PHÙNG VĂN CẢNH </t>
  </si>
  <si>
    <t>TRẦN THỊ HÀ</t>
  </si>
  <si>
    <t>NGUYỄN MINH NGÀ</t>
  </si>
  <si>
    <t>HOÀNG THỊ MÂY</t>
  </si>
  <si>
    <t>LÊ VĂN LAN</t>
  </si>
  <si>
    <t>TÔ KIỀU NGA NGA</t>
  </si>
  <si>
    <t xml:space="preserve">BẢNG TRA TÊN TRƯỜNG </t>
  </si>
  <si>
    <t xml:space="preserve">MÃ </t>
  </si>
  <si>
    <t>ĐINH TIÊN HOÀNG</t>
  </si>
  <si>
    <t>HÒA BÌNH</t>
  </si>
  <si>
    <t>NGUYỄN DU</t>
  </si>
  <si>
    <t>VÕ TRƯỜNG TOẢN</t>
  </si>
  <si>
    <t xml:space="preserve">ĐIỂM  </t>
  </si>
  <si>
    <t>KÉM</t>
  </si>
  <si>
    <t>TB</t>
  </si>
  <si>
    <t>KHÁ</t>
  </si>
  <si>
    <t>GIỎI</t>
  </si>
  <si>
    <t>XS</t>
  </si>
  <si>
    <t>BẢNG TRA TÊN MÔN THI</t>
  </si>
  <si>
    <t>MÃ</t>
  </si>
  <si>
    <t>S</t>
  </si>
  <si>
    <t xml:space="preserve">VĂN </t>
  </si>
  <si>
    <t>BÊ</t>
  </si>
  <si>
    <t>LOAN</t>
  </si>
  <si>
    <t>THU</t>
  </si>
  <si>
    <t>BIỀN</t>
  </si>
  <si>
    <t>HÀ</t>
  </si>
  <si>
    <t>NGÀ</t>
  </si>
  <si>
    <t>MÂY</t>
  </si>
  <si>
    <t>LAN</t>
  </si>
  <si>
    <t>NGA</t>
  </si>
  <si>
    <t>NGUYỄN BÍCH THỦY</t>
  </si>
  <si>
    <t>THỦY</t>
  </si>
  <si>
    <t xml:space="preserve">KHƯƠNG </t>
  </si>
  <si>
    <t>HƯNG</t>
  </si>
  <si>
    <t xml:space="preserve">CẢNH </t>
  </si>
  <si>
    <t>TRẦN MINH HƯNG</t>
  </si>
  <si>
    <t>NGOẠI NGỮ</t>
  </si>
  <si>
    <t>TOÁN</t>
  </si>
  <si>
    <t xml:space="preserve">TÊN </t>
  </si>
  <si>
    <t>BÀI 2</t>
  </si>
  <si>
    <t>BẢNG ĐIỂM CHUẨN</t>
  </si>
  <si>
    <t xml:space="preserve">MÃ NGÀNH </t>
  </si>
  <si>
    <t>NGÀNH HỌC</t>
  </si>
  <si>
    <t>LÝ</t>
  </si>
  <si>
    <t xml:space="preserve">ĐIỂM CHUẨN </t>
  </si>
  <si>
    <t xml:space="preserve">SỐ BÁO DANH </t>
  </si>
  <si>
    <t xml:space="preserve">HỌ </t>
  </si>
  <si>
    <t xml:space="preserve">ĐỐI TƯỢNG </t>
  </si>
  <si>
    <t xml:space="preserve">NGÀNH HỌC </t>
  </si>
  <si>
    <t>TỔNG ĐIỂM</t>
  </si>
  <si>
    <t>KẾT QUẢ</t>
  </si>
  <si>
    <t>TA001</t>
  </si>
  <si>
    <t>TC002</t>
  </si>
  <si>
    <t>TB003</t>
  </si>
  <si>
    <t>LC008</t>
  </si>
  <si>
    <t>TC005</t>
  </si>
  <si>
    <t>LA006</t>
  </si>
  <si>
    <t>HA010</t>
  </si>
  <si>
    <t>LB007</t>
  </si>
  <si>
    <t>HC013</t>
  </si>
  <si>
    <t>TC004</t>
  </si>
  <si>
    <t>HB011</t>
  </si>
  <si>
    <t>NGUYỄN VĂN</t>
  </si>
  <si>
    <t xml:space="preserve">AN </t>
  </si>
  <si>
    <t xml:space="preserve">MINH </t>
  </si>
  <si>
    <t xml:space="preserve">HƯNG </t>
  </si>
  <si>
    <t xml:space="preserve">LOAN </t>
  </si>
  <si>
    <t xml:space="preserve">BIỀN </t>
  </si>
  <si>
    <t>CẢNH</t>
  </si>
  <si>
    <t>LÊ THỊ</t>
  </si>
  <si>
    <t>HOÀNG ANH</t>
  </si>
  <si>
    <t>LÊ HỮU</t>
  </si>
  <si>
    <t>TRẦN MINH</t>
  </si>
  <si>
    <t xml:space="preserve">LÊ THỊ </t>
  </si>
  <si>
    <t>TÔ BÁ</t>
  </si>
  <si>
    <t>HOÀNG VĂN</t>
  </si>
  <si>
    <t xml:space="preserve">NGUYỄN BÍCH </t>
  </si>
  <si>
    <t>PHÙNG VĂN</t>
  </si>
  <si>
    <t>TRẦN THỊ</t>
  </si>
  <si>
    <t>NGUYỄN MINH</t>
  </si>
  <si>
    <t>Tổng số thí sinh dự thi</t>
  </si>
  <si>
    <t>điểm cao nhất</t>
  </si>
  <si>
    <t xml:space="preserve">điểm thấp nhất </t>
  </si>
  <si>
    <t>điểm trung bình</t>
  </si>
  <si>
    <t>=</t>
  </si>
  <si>
    <t xml:space="preserve">TỔNG SỐ THÍ SINH DỰ THI </t>
  </si>
  <si>
    <t>ĐIỂM CAO NHẤT</t>
  </si>
  <si>
    <t>ĐIỂM THẤP NHẤT</t>
  </si>
  <si>
    <t>ĐIỂM TRUNG BÌNH</t>
  </si>
  <si>
    <t>\</t>
  </si>
  <si>
    <t>BT EXCEL: TÍNH ĐIỂM TRUNG BÌNH VÀ XẾP LOẠI HỌC SINH</t>
  </si>
  <si>
    <t>ĐỨC HUY LÊ 
YOUTUBE CHANNEL</t>
  </si>
  <si>
    <t>KẾT QUẢ THI CUỐI KHÓA</t>
  </si>
  <si>
    <t>Mã Số</t>
  </si>
  <si>
    <t>Họ và tên</t>
  </si>
  <si>
    <t>Windows</t>
  </si>
  <si>
    <t>Word</t>
  </si>
  <si>
    <t>Excel</t>
  </si>
  <si>
    <t>ĐTB</t>
  </si>
  <si>
    <t>Điểm thêm</t>
  </si>
  <si>
    <t>Tổng điểm</t>
  </si>
  <si>
    <t>Kết quả</t>
  </si>
  <si>
    <t>Xếp loại</t>
  </si>
  <si>
    <r>
      <t>Yêu Cầu:</t>
    </r>
    <r>
      <rPr>
        <sz val="15"/>
        <rFont val="Arial"/>
        <family val="2"/>
      </rPr>
      <t xml:space="preserve">
1. Tính Điểm Trung Bình biết rằng Môn Excel nhân hệ số 2
2. Điền vào cột Điểm Thêm dựa vào kí tự đầu của Mã Dò trong bảng Điểm Thêm.
3. Tổng Điểm = Điểm Trung Bình + Điểm Thêm
4. Xếp Loại. Nếu Điểm Trung Bình (ĐTB) &gt;=8 xếp "Giỏi", nếu 8&gt;ĐTB&gt;=6 "Khá", nếu 6&gt;ĐTB&gt;=5 "TB", Nếu 5&gt;ĐTB xếp "Yếu"
5. Xác định cột Kết quả biết ĐTB &gt;=5 và không có môn nào dưới 5 điểm
6. Trích rút các học viên có ĐTB&gt;7 và Xếp loại "Khá"
Chú ý: Điểm lấy sau dấu phẩy 2 chữ số thập phân</t>
    </r>
  </si>
  <si>
    <t>T001</t>
  </si>
  <si>
    <t>Lê Đức Huy</t>
  </si>
  <si>
    <t>T002</t>
  </si>
  <si>
    <t>Nguyễn Thị Loan</t>
  </si>
  <si>
    <t>D003</t>
  </si>
  <si>
    <t>Đào Thị Kim Phượng</t>
  </si>
  <si>
    <t>T004</t>
  </si>
  <si>
    <t>Lã Văn Âu</t>
  </si>
  <si>
    <t>D005</t>
  </si>
  <si>
    <t>Sùng Kính Hiền</t>
  </si>
  <si>
    <t>K006</t>
  </si>
  <si>
    <t>Lộc Thị Lý</t>
  </si>
  <si>
    <t>K007</t>
  </si>
  <si>
    <t>Trần Bá Hiền</t>
  </si>
  <si>
    <t>T008</t>
  </si>
  <si>
    <t>Dương Đức Minh</t>
  </si>
  <si>
    <t>BẢNG ĐIỂM THÊM</t>
  </si>
  <si>
    <t>Số thí sinh thi đậu</t>
  </si>
  <si>
    <t>Mã</t>
  </si>
  <si>
    <t>Điểm cộng thêm</t>
  </si>
  <si>
    <t>Số thí sinh thi rớt</t>
  </si>
  <si>
    <t>Số thí sinh có ĐTB&gt;8</t>
  </si>
  <si>
    <t>ĐTB thấp nhất</t>
  </si>
  <si>
    <t>ĐTB cao nhất</t>
  </si>
  <si>
    <t>TÊN HS</t>
  </si>
  <si>
    <t>PHÁI</t>
  </si>
  <si>
    <t>NS</t>
  </si>
  <si>
    <t>VĂN</t>
  </si>
  <si>
    <t>KQ</t>
  </si>
  <si>
    <t>LÂM</t>
  </si>
  <si>
    <t>HẢI</t>
  </si>
  <si>
    <t>HIỆP</t>
  </si>
  <si>
    <t>THẢO</t>
  </si>
  <si>
    <t>HỒNG</t>
  </si>
  <si>
    <t>LINH</t>
  </si>
  <si>
    <t>DIỄM</t>
  </si>
  <si>
    <t>KHOA</t>
  </si>
  <si>
    <t>SƠN</t>
  </si>
  <si>
    <t>NỮ</t>
  </si>
  <si>
    <t xml:space="preserve">NỮ </t>
  </si>
  <si>
    <t>TRUNG BÌNH</t>
  </si>
  <si>
    <t>CAO NHẤT</t>
  </si>
  <si>
    <t>THẤP NHẤT</t>
  </si>
  <si>
    <t>DANH SÁCH THƯỞNG THÁNG 03</t>
  </si>
  <si>
    <t>HỌ</t>
  </si>
  <si>
    <t xml:space="preserve">NGÀY CÔNG </t>
  </si>
  <si>
    <t>THƯỞNG 8-3</t>
  </si>
  <si>
    <t>THƯỞNG 3</t>
  </si>
  <si>
    <t>TRẦN THANH</t>
  </si>
  <si>
    <t>TUẤN</t>
  </si>
  <si>
    <t xml:space="preserve">LÊ NGỌC </t>
  </si>
  <si>
    <t xml:space="preserve">XUÂN </t>
  </si>
  <si>
    <t>PHẠM THANH</t>
  </si>
  <si>
    <t>LONG</t>
  </si>
  <si>
    <t xml:space="preserve">PHẠM HOÀI </t>
  </si>
  <si>
    <t>LÊ THANH</t>
  </si>
  <si>
    <t xml:space="preserve">PHẠM HÙNG </t>
  </si>
  <si>
    <t>CƯỜNG</t>
  </si>
  <si>
    <t>BẢNG TÍNH 3</t>
  </si>
  <si>
    <t xml:space="preserve">HỌ VÀ TÊN </t>
  </si>
  <si>
    <t>CHỨC VỤ</t>
  </si>
  <si>
    <t>NĂM SINH</t>
  </si>
  <si>
    <t>NGÀY</t>
  </si>
  <si>
    <t xml:space="preserve">LƯƠNG </t>
  </si>
  <si>
    <t xml:space="preserve">TẠM ỨNG </t>
  </si>
  <si>
    <t xml:space="preserve">NGUYỄN VĂN TÂM </t>
  </si>
  <si>
    <t>NGUYỄN THỊ HẰNG</t>
  </si>
  <si>
    <t>NGÔ THỊ NGA</t>
  </si>
  <si>
    <t>TRẦN THIÊN THU</t>
  </si>
  <si>
    <t>LÂM HOÀNG CÁT</t>
  </si>
  <si>
    <t>LÊ HOÀI SƠN</t>
  </si>
  <si>
    <t>LÝ LÂM</t>
  </si>
  <si>
    <t xml:space="preserve">TRẦN VĂN TRUNG </t>
  </si>
  <si>
    <t xml:space="preserve">NGUYỄN VĂN TRANG </t>
  </si>
  <si>
    <t xml:space="preserve">LÝ THU NGA </t>
  </si>
  <si>
    <t>NGUYỄN VĂN HÙNG</t>
  </si>
  <si>
    <t>TRẦN THIỊ PHƯƠNG</t>
  </si>
  <si>
    <t>VÕ TẤN THÀNH</t>
  </si>
  <si>
    <t>LÊ VĂN MINH</t>
  </si>
  <si>
    <t>DOÃN HÒA</t>
  </si>
  <si>
    <t>NV</t>
  </si>
  <si>
    <t>PP</t>
  </si>
  <si>
    <t>BV</t>
  </si>
  <si>
    <t>GĐ</t>
  </si>
  <si>
    <t>PGĐ</t>
  </si>
  <si>
    <t>16?9/1967</t>
  </si>
  <si>
    <t>TỔNG CỘNG</t>
  </si>
  <si>
    <t>BÌNH QUÂN</t>
  </si>
  <si>
    <t xml:space="preserve">CAO NHẤT </t>
  </si>
  <si>
    <t xml:space="preserve">THẤP NHẤT </t>
  </si>
  <si>
    <t>BẢNG TÍNH 1</t>
  </si>
  <si>
    <t>BÁO CÁO PHÂN PHỐI NHIÊN LIỆU</t>
  </si>
  <si>
    <t>TỪ :01/04/10 ĐẾN : 30/04/10</t>
  </si>
  <si>
    <t>Bảng giá</t>
  </si>
  <si>
    <t>KD</t>
  </si>
  <si>
    <t>CC</t>
  </si>
  <si>
    <t xml:space="preserve">XĂNG </t>
  </si>
  <si>
    <t>GASOIL</t>
  </si>
  <si>
    <t>DẦU LỬA</t>
  </si>
  <si>
    <t>CHỨNG TỪ</t>
  </si>
  <si>
    <t>ĐƠN VỊ NHẠ6N</t>
  </si>
  <si>
    <t xml:space="preserve">DẦU LỬA </t>
  </si>
  <si>
    <t>SLG</t>
  </si>
  <si>
    <t>TT</t>
  </si>
  <si>
    <t>X100C</t>
  </si>
  <si>
    <t>C.TY A</t>
  </si>
  <si>
    <t>G150K</t>
  </si>
  <si>
    <t>XN VẬN TẢI</t>
  </si>
  <si>
    <t>X200K</t>
  </si>
  <si>
    <t>ĐỘI XE B</t>
  </si>
  <si>
    <t>L100C</t>
  </si>
  <si>
    <t>NHÀ MÁY C</t>
  </si>
  <si>
    <t>L050C</t>
  </si>
  <si>
    <t>XƯỞNG 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</si>
</sst>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[$$-409]#,##0_ ;\-[$$-409]#,##0\ "/>
    <numFmt numFmtId="166" formatCode="#,##0.0\ [$₫-42A];[Red]#,##0.0\ [$₫-42A]"/>
  </numFmts>
  <fonts count="23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  <charset val="163"/>
    </font>
    <font>
      <b/>
      <sz val="14"/>
      <color indexed="8"/>
      <name val="Arial"/>
      <family val="2"/>
      <charset val="163"/>
    </font>
    <font>
      <b/>
      <sz val="14"/>
      <color indexed="13"/>
      <name val="Arial"/>
      <family val="2"/>
    </font>
    <font>
      <sz val="14"/>
      <color indexed="8"/>
      <name val="Arial"/>
      <family val="2"/>
      <charset val="163"/>
    </font>
    <font>
      <b/>
      <u/>
      <sz val="14"/>
      <color indexed="10"/>
      <name val="Arial"/>
      <family val="2"/>
      <charset val="163"/>
    </font>
    <font>
      <b/>
      <sz val="14"/>
      <color indexed="8"/>
      <name val="Arial"/>
      <family val="2"/>
    </font>
    <font>
      <sz val="12"/>
      <name val="VNI-Times"/>
    </font>
    <font>
      <b/>
      <u/>
      <sz val="15"/>
      <name val="Arial"/>
      <family val="2"/>
    </font>
    <font>
      <sz val="15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4"/>
      <color indexed="8"/>
      <name val="VNI-Times"/>
    </font>
    <font>
      <sz val="14"/>
      <color indexed="8"/>
      <name val="Arial"/>
      <family val="2"/>
    </font>
    <font>
      <sz val="12"/>
      <color indexed="8"/>
      <name val="Arial"/>
      <family val="2"/>
    </font>
    <font>
      <b/>
      <sz val="16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51"/>
        <bgColor indexed="52"/>
      </patternFill>
    </fill>
    <fill>
      <patternFill patternType="solid">
        <fgColor indexed="32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26"/>
        <bgColor indexed="9"/>
      </patternFill>
    </fill>
  </fills>
  <borders count="3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  <border>
      <left style="medium">
        <color indexed="18"/>
      </left>
      <right style="medium">
        <color indexed="18"/>
      </right>
      <top/>
      <bottom style="medium">
        <color indexed="18"/>
      </bottom>
      <diagonal/>
    </border>
    <border>
      <left/>
      <right style="medium">
        <color indexed="18"/>
      </right>
      <top/>
      <bottom style="medium">
        <color indexed="18"/>
      </bottom>
      <diagonal/>
    </border>
    <border>
      <left/>
      <right style="medium">
        <color indexed="18"/>
      </right>
      <top style="medium">
        <color indexed="18"/>
      </top>
      <bottom style="medium">
        <color indexed="18"/>
      </bottom>
      <diagonal/>
    </border>
  </borders>
  <cellStyleXfs count="4">
    <xf numFmtId="0" fontId="0" fillId="0" borderId="0"/>
    <xf numFmtId="0" fontId="8" fillId="0" borderId="0"/>
    <xf numFmtId="0" fontId="14" fillId="0" borderId="0"/>
    <xf numFmtId="0" fontId="17" fillId="0" borderId="0"/>
  </cellStyleXfs>
  <cellXfs count="135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9" fontId="3" fillId="0" borderId="2" xfId="0" applyNumberFormat="1" applyFont="1" applyBorder="1" applyAlignment="1">
      <alignment vertical="center"/>
    </xf>
    <xf numFmtId="9" fontId="3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5" fillId="0" borderId="2" xfId="0" applyFont="1" applyBorder="1"/>
    <xf numFmtId="0" fontId="3" fillId="0" borderId="2" xfId="0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7" xfId="0" applyFont="1" applyBorder="1"/>
    <xf numFmtId="0" fontId="6" fillId="0" borderId="2" xfId="0" applyFont="1" applyBorder="1"/>
    <xf numFmtId="0" fontId="6" fillId="0" borderId="8" xfId="0" applyFont="1" applyBorder="1"/>
    <xf numFmtId="0" fontId="6" fillId="0" borderId="9" xfId="0" applyFont="1" applyBorder="1"/>
    <xf numFmtId="0" fontId="6" fillId="0" borderId="10" xfId="0" applyFont="1" applyBorder="1"/>
    <xf numFmtId="0" fontId="6" fillId="0" borderId="11" xfId="0" applyFont="1" applyBorder="1"/>
    <xf numFmtId="0" fontId="6" fillId="0" borderId="2" xfId="0" applyFont="1" applyBorder="1" applyAlignment="1">
      <alignment vertical="center" wrapText="1"/>
    </xf>
    <xf numFmtId="10" fontId="6" fillId="0" borderId="2" xfId="0" applyNumberFormat="1" applyFont="1" applyBorder="1"/>
    <xf numFmtId="0" fontId="6" fillId="0" borderId="0" xfId="0" applyFont="1" applyBorder="1" applyAlignment="1">
      <alignment vertical="center" wrapText="1"/>
    </xf>
    <xf numFmtId="0" fontId="6" fillId="0" borderId="0" xfId="0" applyFont="1" applyBorder="1"/>
    <xf numFmtId="10" fontId="6" fillId="0" borderId="0" xfId="0" applyNumberFormat="1" applyFont="1"/>
    <xf numFmtId="10" fontId="6" fillId="0" borderId="5" xfId="0" applyNumberFormat="1" applyFont="1" applyBorder="1" applyAlignment="1">
      <alignment vertical="center" wrapText="1"/>
    </xf>
    <xf numFmtId="10" fontId="6" fillId="0" borderId="10" xfId="0" applyNumberFormat="1" applyFont="1" applyBorder="1"/>
    <xf numFmtId="10" fontId="6" fillId="0" borderId="2" xfId="0" applyNumberFormat="1" applyFont="1" applyBorder="1" applyAlignment="1">
      <alignment vertical="center" wrapText="1"/>
    </xf>
    <xf numFmtId="10" fontId="6" fillId="0" borderId="0" xfId="0" applyNumberFormat="1" applyFont="1" applyAlignment="1">
      <alignment vertical="center" wrapText="1"/>
    </xf>
    <xf numFmtId="1" fontId="6" fillId="0" borderId="2" xfId="0" applyNumberFormat="1" applyFont="1" applyBorder="1"/>
    <xf numFmtId="0" fontId="3" fillId="0" borderId="0" xfId="0" applyFont="1" applyAlignment="1">
      <alignment wrapText="1"/>
    </xf>
    <xf numFmtId="0" fontId="3" fillId="0" borderId="2" xfId="0" applyFont="1" applyBorder="1"/>
    <xf numFmtId="0" fontId="3" fillId="0" borderId="2" xfId="0" applyFont="1" applyBorder="1" applyAlignment="1">
      <alignment wrapText="1"/>
    </xf>
    <xf numFmtId="2" fontId="3" fillId="0" borderId="0" xfId="0" applyNumberFormat="1" applyFont="1"/>
    <xf numFmtId="2" fontId="3" fillId="0" borderId="2" xfId="0" applyNumberFormat="1" applyFont="1" applyBorder="1"/>
    <xf numFmtId="14" fontId="0" fillId="0" borderId="0" xfId="0" applyNumberFormat="1"/>
    <xf numFmtId="2" fontId="0" fillId="0" borderId="0" xfId="0" applyNumberFormat="1"/>
    <xf numFmtId="165" fontId="0" fillId="0" borderId="0" xfId="0" applyNumberFormat="1"/>
    <xf numFmtId="0" fontId="0" fillId="0" borderId="2" xfId="0" applyBorder="1"/>
    <xf numFmtId="14" fontId="0" fillId="0" borderId="2" xfId="0" applyNumberFormat="1" applyBorder="1"/>
    <xf numFmtId="165" fontId="0" fillId="0" borderId="2" xfId="0" applyNumberFormat="1" applyBorder="1"/>
    <xf numFmtId="166" fontId="0" fillId="0" borderId="0" xfId="0" applyNumberFormat="1"/>
    <xf numFmtId="166" fontId="0" fillId="0" borderId="2" xfId="0" applyNumberFormat="1" applyBorder="1"/>
    <xf numFmtId="0" fontId="0" fillId="0" borderId="0" xfId="0" applyAlignment="1">
      <alignment vertical="center" wrapText="1"/>
    </xf>
    <xf numFmtId="49" fontId="0" fillId="0" borderId="0" xfId="0" applyNumberFormat="1"/>
    <xf numFmtId="2" fontId="0" fillId="0" borderId="2" xfId="0" applyNumberFormat="1" applyBorder="1"/>
    <xf numFmtId="0" fontId="0" fillId="0" borderId="2" xfId="0" applyBorder="1" applyAlignment="1">
      <alignment vertical="center" wrapText="1"/>
    </xf>
    <xf numFmtId="49" fontId="0" fillId="0" borderId="2" xfId="0" applyNumberFormat="1" applyBorder="1"/>
    <xf numFmtId="1" fontId="0" fillId="0" borderId="2" xfId="0" applyNumberFormat="1" applyBorder="1"/>
    <xf numFmtId="0" fontId="0" fillId="0" borderId="0" xfId="0" applyBorder="1"/>
    <xf numFmtId="4" fontId="0" fillId="0" borderId="0" xfId="0" applyNumberFormat="1"/>
    <xf numFmtId="4" fontId="0" fillId="0" borderId="2" xfId="0" applyNumberFormat="1" applyBorder="1"/>
    <xf numFmtId="14" fontId="0" fillId="0" borderId="0" xfId="0" applyNumberFormat="1" applyBorder="1"/>
    <xf numFmtId="0" fontId="0" fillId="0" borderId="0" xfId="0" applyBorder="1" applyAlignment="1">
      <alignment vertical="center" wrapText="1"/>
    </xf>
    <xf numFmtId="0" fontId="7" fillId="0" borderId="2" xfId="0" applyFont="1" applyBorder="1"/>
    <xf numFmtId="49" fontId="0" fillId="0" borderId="3" xfId="0" applyNumberFormat="1" applyBorder="1"/>
    <xf numFmtId="0" fontId="0" fillId="0" borderId="3" xfId="0" applyBorder="1"/>
    <xf numFmtId="2" fontId="0" fillId="0" borderId="3" xfId="0" applyNumberFormat="1" applyBorder="1"/>
    <xf numFmtId="0" fontId="0" fillId="0" borderId="12" xfId="0" applyBorder="1" applyAlignment="1">
      <alignment vertical="center" wrapText="1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49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9" fillId="2" borderId="0" xfId="1" applyFont="1" applyFill="1" applyBorder="1" applyAlignment="1">
      <alignment horizontal="center" vertical="center" wrapText="1"/>
    </xf>
    <xf numFmtId="0" fontId="10" fillId="3" borderId="0" xfId="1" applyFont="1" applyFill="1" applyAlignment="1">
      <alignment horizontal="center" vertical="center" wrapText="1"/>
    </xf>
    <xf numFmtId="0" fontId="11" fillId="0" borderId="0" xfId="1" applyFont="1"/>
    <xf numFmtId="0" fontId="12" fillId="0" borderId="24" xfId="1" applyFont="1" applyBorder="1" applyAlignment="1">
      <alignment horizontal="center" vertical="center" wrapText="1"/>
    </xf>
    <xf numFmtId="0" fontId="13" fillId="4" borderId="25" xfId="1" applyFont="1" applyFill="1" applyBorder="1" applyAlignment="1">
      <alignment horizontal="center" vertical="center"/>
    </xf>
    <xf numFmtId="0" fontId="13" fillId="4" borderId="26" xfId="1" applyFont="1" applyFill="1" applyBorder="1" applyAlignment="1">
      <alignment horizontal="center" vertical="center" wrapText="1"/>
    </xf>
    <xf numFmtId="0" fontId="13" fillId="4" borderId="25" xfId="1" applyFont="1" applyFill="1" applyBorder="1" applyAlignment="1">
      <alignment horizontal="center" vertical="center" wrapText="1"/>
    </xf>
    <xf numFmtId="0" fontId="15" fillId="5" borderId="0" xfId="2" applyFont="1" applyFill="1" applyBorder="1" applyAlignment="1">
      <alignment horizontal="left" vertical="center" wrapText="1"/>
    </xf>
    <xf numFmtId="0" fontId="16" fillId="5" borderId="0" xfId="2" applyFont="1" applyFill="1" applyBorder="1" applyAlignment="1">
      <alignment horizontal="left" vertical="center" wrapText="1"/>
    </xf>
    <xf numFmtId="0" fontId="18" fillId="0" borderId="27" xfId="3" applyFont="1" applyBorder="1" applyAlignment="1">
      <alignment horizontal="center" vertical="center" wrapText="1"/>
    </xf>
    <xf numFmtId="0" fontId="19" fillId="4" borderId="27" xfId="1" applyFont="1" applyFill="1" applyBorder="1" applyAlignment="1">
      <alignment horizontal="center" vertical="center"/>
    </xf>
    <xf numFmtId="0" fontId="19" fillId="4" borderId="28" xfId="1" applyFont="1" applyFill="1" applyBorder="1" applyAlignment="1">
      <alignment vertical="center"/>
    </xf>
    <xf numFmtId="0" fontId="19" fillId="4" borderId="28" xfId="1" applyFont="1" applyFill="1" applyBorder="1" applyAlignment="1">
      <alignment horizontal="right" vertical="center"/>
    </xf>
    <xf numFmtId="0" fontId="19" fillId="4" borderId="27" xfId="1" applyFont="1" applyFill="1" applyBorder="1" applyAlignment="1">
      <alignment horizontal="right" vertical="center"/>
    </xf>
    <xf numFmtId="2" fontId="19" fillId="6" borderId="28" xfId="1" applyNumberFormat="1" applyFont="1" applyFill="1" applyBorder="1" applyAlignment="1">
      <alignment vertical="center"/>
    </xf>
    <xf numFmtId="2" fontId="19" fillId="6" borderId="27" xfId="1" applyNumberFormat="1" applyFont="1" applyFill="1" applyBorder="1" applyAlignment="1">
      <alignment vertical="center"/>
    </xf>
    <xf numFmtId="0" fontId="19" fillId="6" borderId="27" xfId="1" applyFont="1" applyFill="1" applyBorder="1" applyAlignment="1">
      <alignment vertical="center"/>
    </xf>
    <xf numFmtId="0" fontId="19" fillId="4" borderId="25" xfId="1" applyFont="1" applyFill="1" applyBorder="1" applyAlignment="1">
      <alignment horizontal="center" vertical="center"/>
    </xf>
    <xf numFmtId="0" fontId="19" fillId="4" borderId="29" xfId="1" applyFont="1" applyFill="1" applyBorder="1" applyAlignment="1">
      <alignment vertical="center"/>
    </xf>
    <xf numFmtId="0" fontId="19" fillId="4" borderId="29" xfId="1" applyFont="1" applyFill="1" applyBorder="1" applyAlignment="1">
      <alignment horizontal="right" vertical="center"/>
    </xf>
    <xf numFmtId="0" fontId="19" fillId="4" borderId="25" xfId="1" applyFont="1" applyFill="1" applyBorder="1" applyAlignment="1">
      <alignment horizontal="right" vertical="center"/>
    </xf>
    <xf numFmtId="0" fontId="20" fillId="4" borderId="25" xfId="1" applyFont="1" applyFill="1" applyBorder="1" applyAlignment="1">
      <alignment vertical="center" wrapText="1"/>
    </xf>
    <xf numFmtId="0" fontId="21" fillId="6" borderId="25" xfId="1" applyFont="1" applyFill="1" applyBorder="1" applyAlignment="1">
      <alignment vertical="center"/>
    </xf>
    <xf numFmtId="0" fontId="22" fillId="4" borderId="25" xfId="1" applyFont="1" applyFill="1" applyBorder="1" applyAlignment="1">
      <alignment horizontal="center" vertical="center"/>
    </xf>
    <xf numFmtId="0" fontId="22" fillId="4" borderId="29" xfId="1" applyFont="1" applyFill="1" applyBorder="1" applyAlignment="1">
      <alignment vertical="center"/>
    </xf>
    <xf numFmtId="0" fontId="20" fillId="6" borderId="27" xfId="1" applyFont="1" applyFill="1" applyBorder="1" applyAlignment="1">
      <alignment horizontal="center" vertical="center"/>
    </xf>
    <xf numFmtId="2" fontId="20" fillId="6" borderId="28" xfId="1" applyNumberFormat="1" applyFont="1" applyFill="1" applyBorder="1" applyAlignment="1">
      <alignment horizontal="right" vertical="center"/>
    </xf>
    <xf numFmtId="0" fontId="20" fillId="6" borderId="25" xfId="1" applyFont="1" applyFill="1" applyBorder="1" applyAlignment="1">
      <alignment horizontal="center" vertical="center"/>
    </xf>
    <xf numFmtId="2" fontId="20" fillId="6" borderId="29" xfId="1" applyNumberFormat="1" applyFont="1" applyFill="1" applyBorder="1" applyAlignment="1">
      <alignment horizontal="right" vertical="center"/>
    </xf>
    <xf numFmtId="2" fontId="21" fillId="6" borderId="25" xfId="1" applyNumberFormat="1" applyFont="1" applyFill="1" applyBorder="1" applyAlignment="1">
      <alignment vertical="center"/>
    </xf>
    <xf numFmtId="0" fontId="11" fillId="0" borderId="0" xfId="1" applyFont="1" applyAlignment="1">
      <alignment wrapText="1"/>
    </xf>
    <xf numFmtId="49" fontId="3" fillId="0" borderId="0" xfId="0" applyNumberFormat="1" applyFont="1"/>
    <xf numFmtId="164" fontId="3" fillId="0" borderId="0" xfId="0" applyNumberFormat="1" applyFont="1"/>
    <xf numFmtId="49" fontId="3" fillId="0" borderId="2" xfId="0" applyNumberFormat="1" applyFont="1" applyBorder="1"/>
    <xf numFmtId="164" fontId="3" fillId="0" borderId="2" xfId="0" applyNumberFormat="1" applyFont="1" applyBorder="1"/>
    <xf numFmtId="49" fontId="3" fillId="0" borderId="12" xfId="0" applyNumberFormat="1" applyFont="1" applyBorder="1" applyAlignment="1">
      <alignment horizontal="center"/>
    </xf>
    <xf numFmtId="49" fontId="3" fillId="0" borderId="23" xfId="0" applyNumberFormat="1" applyFont="1" applyBorder="1" applyAlignment="1">
      <alignment horizontal="center"/>
    </xf>
  </cellXfs>
  <cellStyles count="4">
    <cellStyle name="Excel Built-in Normal" xfId="1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 68'!$H$17</c:f>
              <c:strCache>
                <c:ptCount val="1"/>
                <c:pt idx="0">
                  <c:v>TỔNG TÀNH TIỀN</c:v>
                </c:pt>
              </c:strCache>
            </c:strRef>
          </c:tx>
          <c:invertIfNegative val="0"/>
          <c:cat>
            <c:strRef>
              <c:f>' 68'!$I$16:$L$16</c:f>
              <c:strCache>
                <c:ptCount val="4"/>
                <c:pt idx="0">
                  <c:v>ĐIỆN TỬ</c:v>
                </c:pt>
                <c:pt idx="1">
                  <c:v>GIA DỤNG</c:v>
                </c:pt>
                <c:pt idx="2">
                  <c:v>VI TÍNH</c:v>
                </c:pt>
                <c:pt idx="3">
                  <c:v>CƠ KHÍ</c:v>
                </c:pt>
              </c:strCache>
            </c:strRef>
          </c:cat>
          <c:val>
            <c:numRef>
              <c:f>' 68'!$I$17:$L$17</c:f>
              <c:numCache>
                <c:formatCode>General</c:formatCode>
                <c:ptCount val="4"/>
                <c:pt idx="0">
                  <c:v>96360</c:v>
                </c:pt>
                <c:pt idx="1">
                  <c:v>36500</c:v>
                </c:pt>
                <c:pt idx="2">
                  <c:v>92040</c:v>
                </c:pt>
                <c:pt idx="3">
                  <c:v>67850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210944"/>
        <c:axId val="34212480"/>
      </c:barChart>
      <c:catAx>
        <c:axId val="34210944"/>
        <c:scaling>
          <c:orientation val="minMax"/>
        </c:scaling>
        <c:delete val="0"/>
        <c:axPos val="b"/>
        <c:majorTickMark val="out"/>
        <c:minorTickMark val="none"/>
        <c:tickLblPos val="nextTo"/>
        <c:crossAx val="34212480"/>
        <c:crosses val="autoZero"/>
        <c:auto val="1"/>
        <c:lblAlgn val="ctr"/>
        <c:lblOffset val="100"/>
        <c:noMultiLvlLbl val="0"/>
      </c:catAx>
      <c:valAx>
        <c:axId val="342124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2109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'48'!$A$23</c:f>
              <c:strCache>
                <c:ptCount val="1"/>
                <c:pt idx="0">
                  <c:v>A</c:v>
                </c:pt>
              </c:strCache>
            </c:strRef>
          </c:tx>
          <c:invertIfNegative val="0"/>
          <c:cat>
            <c:strRef>
              <c:f>'48'!$B$22:$D$22</c:f>
              <c:strCache>
                <c:ptCount val="3"/>
                <c:pt idx="0">
                  <c:v>SỐ HỌC SINH</c:v>
                </c:pt>
                <c:pt idx="1">
                  <c:v>ĐẬU </c:v>
                </c:pt>
                <c:pt idx="2">
                  <c:v>RỚT </c:v>
                </c:pt>
              </c:strCache>
            </c:strRef>
          </c:cat>
          <c:val>
            <c:numRef>
              <c:f>'48'!$B$23:$D$23</c:f>
              <c:numCache>
                <c:formatCode>General</c:formatCode>
                <c:ptCount val="3"/>
                <c:pt idx="0">
                  <c:v>6</c:v>
                </c:pt>
                <c:pt idx="1">
                  <c:v>1</c:v>
                </c:pt>
                <c:pt idx="2">
                  <c:v>5</c:v>
                </c:pt>
              </c:numCache>
            </c:numRef>
          </c:val>
        </c:ser>
        <c:ser>
          <c:idx val="1"/>
          <c:order val="1"/>
          <c:tx>
            <c:strRef>
              <c:f>'48'!$A$24</c:f>
              <c:strCache>
                <c:ptCount val="1"/>
                <c:pt idx="0">
                  <c:v>B</c:v>
                </c:pt>
              </c:strCache>
            </c:strRef>
          </c:tx>
          <c:invertIfNegative val="0"/>
          <c:cat>
            <c:strRef>
              <c:f>'48'!$B$22:$D$22</c:f>
              <c:strCache>
                <c:ptCount val="3"/>
                <c:pt idx="0">
                  <c:v>SỐ HỌC SINH</c:v>
                </c:pt>
                <c:pt idx="1">
                  <c:v>ĐẬU </c:v>
                </c:pt>
                <c:pt idx="2">
                  <c:v>RỚT </c:v>
                </c:pt>
              </c:strCache>
            </c:strRef>
          </c:cat>
          <c:val>
            <c:numRef>
              <c:f>'48'!$B$24:$D$24</c:f>
              <c:numCache>
                <c:formatCode>General</c:formatCode>
                <c:ptCount val="3"/>
                <c:pt idx="0">
                  <c:v>3</c:v>
                </c:pt>
                <c:pt idx="1">
                  <c:v>2</c:v>
                </c:pt>
                <c:pt idx="2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6479232"/>
        <c:axId val="74250496"/>
      </c:barChart>
      <c:catAx>
        <c:axId val="66479232"/>
        <c:scaling>
          <c:orientation val="minMax"/>
        </c:scaling>
        <c:delete val="0"/>
        <c:axPos val="b"/>
        <c:majorTickMark val="out"/>
        <c:minorTickMark val="none"/>
        <c:tickLblPos val="nextTo"/>
        <c:crossAx val="74250496"/>
        <c:crosses val="autoZero"/>
        <c:auto val="1"/>
        <c:lblAlgn val="ctr"/>
        <c:lblOffset val="100"/>
        <c:noMultiLvlLbl val="0"/>
      </c:catAx>
      <c:valAx>
        <c:axId val="742504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647923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95251</xdr:colOff>
      <xdr:row>12</xdr:row>
      <xdr:rowOff>152400</xdr:rowOff>
    </xdr:from>
    <xdr:to>
      <xdr:col>21</xdr:col>
      <xdr:colOff>435429</xdr:colOff>
      <xdr:row>23</xdr:row>
      <xdr:rowOff>106136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25</xdr:row>
      <xdr:rowOff>180975</xdr:rowOff>
    </xdr:from>
    <xdr:to>
      <xdr:col>12</xdr:col>
      <xdr:colOff>190500</xdr:colOff>
      <xdr:row>42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yentrang" refreshedDate="43521.956628472224" createdVersion="4" refreshedVersion="4" minRefreshableVersion="3" recordCount="19">
  <cacheSource type="worksheet">
    <worksheetSource ref="A1:A22" sheet="43(SUBTOTAL)"/>
  </cacheSource>
  <cacheFields count="1">
    <cacheField name="BẢNG THANH TOÁN CÔNG TÁC PHÍ" numFmtId="49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">
  <r>
    <m/>
  </r>
  <r>
    <m/>
  </r>
  <r>
    <m/>
  </r>
  <r>
    <s v="MÃ NV"/>
  </r>
  <r>
    <s v="008"/>
  </r>
  <r>
    <s v="010"/>
  </r>
  <r>
    <s v="001"/>
  </r>
  <r>
    <s v="005"/>
  </r>
  <r>
    <s v="013"/>
  </r>
  <r>
    <s v="002"/>
  </r>
  <r>
    <s v="003"/>
  </r>
  <r>
    <s v="009"/>
  </r>
  <r>
    <s v="012"/>
  </r>
  <r>
    <s v="007"/>
  </r>
  <r>
    <s v="014"/>
  </r>
  <r>
    <s v="011"/>
  </r>
  <r>
    <s v="015"/>
  </r>
  <r>
    <s v="004"/>
  </r>
  <r>
    <s v="0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4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N23:P40" firstHeaderRow="1" firstDataRow="1" firstDataCol="0"/>
  <pivotFields count="1"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zoomScaleNormal="100" workbookViewId="0">
      <selection activeCell="I5" sqref="I5"/>
    </sheetView>
  </sheetViews>
  <sheetFormatPr defaultColWidth="10" defaultRowHeight="18" x14ac:dyDescent="0.25"/>
  <cols>
    <col min="1" max="1" width="11.140625" style="100" customWidth="1"/>
    <col min="2" max="2" width="27.5703125" style="100" customWidth="1"/>
    <col min="3" max="3" width="13" style="100" customWidth="1"/>
    <col min="4" max="15" width="10" style="100" customWidth="1"/>
    <col min="16" max="16" width="7" style="100" customWidth="1"/>
    <col min="17" max="256" width="10" style="100"/>
    <col min="257" max="257" width="11.140625" style="100" customWidth="1"/>
    <col min="258" max="258" width="27.5703125" style="100" customWidth="1"/>
    <col min="259" max="259" width="13" style="100" customWidth="1"/>
    <col min="260" max="271" width="10" style="100" customWidth="1"/>
    <col min="272" max="272" width="7" style="100" customWidth="1"/>
    <col min="273" max="512" width="10" style="100"/>
    <col min="513" max="513" width="11.140625" style="100" customWidth="1"/>
    <col min="514" max="514" width="27.5703125" style="100" customWidth="1"/>
    <col min="515" max="515" width="13" style="100" customWidth="1"/>
    <col min="516" max="527" width="10" style="100" customWidth="1"/>
    <col min="528" max="528" width="7" style="100" customWidth="1"/>
    <col min="529" max="768" width="10" style="100"/>
    <col min="769" max="769" width="11.140625" style="100" customWidth="1"/>
    <col min="770" max="770" width="27.5703125" style="100" customWidth="1"/>
    <col min="771" max="771" width="13" style="100" customWidth="1"/>
    <col min="772" max="783" width="10" style="100" customWidth="1"/>
    <col min="784" max="784" width="7" style="100" customWidth="1"/>
    <col min="785" max="1024" width="10" style="100"/>
    <col min="1025" max="1025" width="11.140625" style="100" customWidth="1"/>
    <col min="1026" max="1026" width="27.5703125" style="100" customWidth="1"/>
    <col min="1027" max="1027" width="13" style="100" customWidth="1"/>
    <col min="1028" max="1039" width="10" style="100" customWidth="1"/>
    <col min="1040" max="1040" width="7" style="100" customWidth="1"/>
    <col min="1041" max="1280" width="10" style="100"/>
    <col min="1281" max="1281" width="11.140625" style="100" customWidth="1"/>
    <col min="1282" max="1282" width="27.5703125" style="100" customWidth="1"/>
    <col min="1283" max="1283" width="13" style="100" customWidth="1"/>
    <col min="1284" max="1295" width="10" style="100" customWidth="1"/>
    <col min="1296" max="1296" width="7" style="100" customWidth="1"/>
    <col min="1297" max="1536" width="10" style="100"/>
    <col min="1537" max="1537" width="11.140625" style="100" customWidth="1"/>
    <col min="1538" max="1538" width="27.5703125" style="100" customWidth="1"/>
    <col min="1539" max="1539" width="13" style="100" customWidth="1"/>
    <col min="1540" max="1551" width="10" style="100" customWidth="1"/>
    <col min="1552" max="1552" width="7" style="100" customWidth="1"/>
    <col min="1553" max="1792" width="10" style="100"/>
    <col min="1793" max="1793" width="11.140625" style="100" customWidth="1"/>
    <col min="1794" max="1794" width="27.5703125" style="100" customWidth="1"/>
    <col min="1795" max="1795" width="13" style="100" customWidth="1"/>
    <col min="1796" max="1807" width="10" style="100" customWidth="1"/>
    <col min="1808" max="1808" width="7" style="100" customWidth="1"/>
    <col min="1809" max="2048" width="10" style="100"/>
    <col min="2049" max="2049" width="11.140625" style="100" customWidth="1"/>
    <col min="2050" max="2050" width="27.5703125" style="100" customWidth="1"/>
    <col min="2051" max="2051" width="13" style="100" customWidth="1"/>
    <col min="2052" max="2063" width="10" style="100" customWidth="1"/>
    <col min="2064" max="2064" width="7" style="100" customWidth="1"/>
    <col min="2065" max="2304" width="10" style="100"/>
    <col min="2305" max="2305" width="11.140625" style="100" customWidth="1"/>
    <col min="2306" max="2306" width="27.5703125" style="100" customWidth="1"/>
    <col min="2307" max="2307" width="13" style="100" customWidth="1"/>
    <col min="2308" max="2319" width="10" style="100" customWidth="1"/>
    <col min="2320" max="2320" width="7" style="100" customWidth="1"/>
    <col min="2321" max="2560" width="10" style="100"/>
    <col min="2561" max="2561" width="11.140625" style="100" customWidth="1"/>
    <col min="2562" max="2562" width="27.5703125" style="100" customWidth="1"/>
    <col min="2563" max="2563" width="13" style="100" customWidth="1"/>
    <col min="2564" max="2575" width="10" style="100" customWidth="1"/>
    <col min="2576" max="2576" width="7" style="100" customWidth="1"/>
    <col min="2577" max="2816" width="10" style="100"/>
    <col min="2817" max="2817" width="11.140625" style="100" customWidth="1"/>
    <col min="2818" max="2818" width="27.5703125" style="100" customWidth="1"/>
    <col min="2819" max="2819" width="13" style="100" customWidth="1"/>
    <col min="2820" max="2831" width="10" style="100" customWidth="1"/>
    <col min="2832" max="2832" width="7" style="100" customWidth="1"/>
    <col min="2833" max="3072" width="10" style="100"/>
    <col min="3073" max="3073" width="11.140625" style="100" customWidth="1"/>
    <col min="3074" max="3074" width="27.5703125" style="100" customWidth="1"/>
    <col min="3075" max="3075" width="13" style="100" customWidth="1"/>
    <col min="3076" max="3087" width="10" style="100" customWidth="1"/>
    <col min="3088" max="3088" width="7" style="100" customWidth="1"/>
    <col min="3089" max="3328" width="10" style="100"/>
    <col min="3329" max="3329" width="11.140625" style="100" customWidth="1"/>
    <col min="3330" max="3330" width="27.5703125" style="100" customWidth="1"/>
    <col min="3331" max="3331" width="13" style="100" customWidth="1"/>
    <col min="3332" max="3343" width="10" style="100" customWidth="1"/>
    <col min="3344" max="3344" width="7" style="100" customWidth="1"/>
    <col min="3345" max="3584" width="10" style="100"/>
    <col min="3585" max="3585" width="11.140625" style="100" customWidth="1"/>
    <col min="3586" max="3586" width="27.5703125" style="100" customWidth="1"/>
    <col min="3587" max="3587" width="13" style="100" customWidth="1"/>
    <col min="3588" max="3599" width="10" style="100" customWidth="1"/>
    <col min="3600" max="3600" width="7" style="100" customWidth="1"/>
    <col min="3601" max="3840" width="10" style="100"/>
    <col min="3841" max="3841" width="11.140625" style="100" customWidth="1"/>
    <col min="3842" max="3842" width="27.5703125" style="100" customWidth="1"/>
    <col min="3843" max="3843" width="13" style="100" customWidth="1"/>
    <col min="3844" max="3855" width="10" style="100" customWidth="1"/>
    <col min="3856" max="3856" width="7" style="100" customWidth="1"/>
    <col min="3857" max="4096" width="10" style="100"/>
    <col min="4097" max="4097" width="11.140625" style="100" customWidth="1"/>
    <col min="4098" max="4098" width="27.5703125" style="100" customWidth="1"/>
    <col min="4099" max="4099" width="13" style="100" customWidth="1"/>
    <col min="4100" max="4111" width="10" style="100" customWidth="1"/>
    <col min="4112" max="4112" width="7" style="100" customWidth="1"/>
    <col min="4113" max="4352" width="10" style="100"/>
    <col min="4353" max="4353" width="11.140625" style="100" customWidth="1"/>
    <col min="4354" max="4354" width="27.5703125" style="100" customWidth="1"/>
    <col min="4355" max="4355" width="13" style="100" customWidth="1"/>
    <col min="4356" max="4367" width="10" style="100" customWidth="1"/>
    <col min="4368" max="4368" width="7" style="100" customWidth="1"/>
    <col min="4369" max="4608" width="10" style="100"/>
    <col min="4609" max="4609" width="11.140625" style="100" customWidth="1"/>
    <col min="4610" max="4610" width="27.5703125" style="100" customWidth="1"/>
    <col min="4611" max="4611" width="13" style="100" customWidth="1"/>
    <col min="4612" max="4623" width="10" style="100" customWidth="1"/>
    <col min="4624" max="4624" width="7" style="100" customWidth="1"/>
    <col min="4625" max="4864" width="10" style="100"/>
    <col min="4865" max="4865" width="11.140625" style="100" customWidth="1"/>
    <col min="4866" max="4866" width="27.5703125" style="100" customWidth="1"/>
    <col min="4867" max="4867" width="13" style="100" customWidth="1"/>
    <col min="4868" max="4879" width="10" style="100" customWidth="1"/>
    <col min="4880" max="4880" width="7" style="100" customWidth="1"/>
    <col min="4881" max="5120" width="10" style="100"/>
    <col min="5121" max="5121" width="11.140625" style="100" customWidth="1"/>
    <col min="5122" max="5122" width="27.5703125" style="100" customWidth="1"/>
    <col min="5123" max="5123" width="13" style="100" customWidth="1"/>
    <col min="5124" max="5135" width="10" style="100" customWidth="1"/>
    <col min="5136" max="5136" width="7" style="100" customWidth="1"/>
    <col min="5137" max="5376" width="10" style="100"/>
    <col min="5377" max="5377" width="11.140625" style="100" customWidth="1"/>
    <col min="5378" max="5378" width="27.5703125" style="100" customWidth="1"/>
    <col min="5379" max="5379" width="13" style="100" customWidth="1"/>
    <col min="5380" max="5391" width="10" style="100" customWidth="1"/>
    <col min="5392" max="5392" width="7" style="100" customWidth="1"/>
    <col min="5393" max="5632" width="10" style="100"/>
    <col min="5633" max="5633" width="11.140625" style="100" customWidth="1"/>
    <col min="5634" max="5634" width="27.5703125" style="100" customWidth="1"/>
    <col min="5635" max="5635" width="13" style="100" customWidth="1"/>
    <col min="5636" max="5647" width="10" style="100" customWidth="1"/>
    <col min="5648" max="5648" width="7" style="100" customWidth="1"/>
    <col min="5649" max="5888" width="10" style="100"/>
    <col min="5889" max="5889" width="11.140625" style="100" customWidth="1"/>
    <col min="5890" max="5890" width="27.5703125" style="100" customWidth="1"/>
    <col min="5891" max="5891" width="13" style="100" customWidth="1"/>
    <col min="5892" max="5903" width="10" style="100" customWidth="1"/>
    <col min="5904" max="5904" width="7" style="100" customWidth="1"/>
    <col min="5905" max="6144" width="10" style="100"/>
    <col min="6145" max="6145" width="11.140625" style="100" customWidth="1"/>
    <col min="6146" max="6146" width="27.5703125" style="100" customWidth="1"/>
    <col min="6147" max="6147" width="13" style="100" customWidth="1"/>
    <col min="6148" max="6159" width="10" style="100" customWidth="1"/>
    <col min="6160" max="6160" width="7" style="100" customWidth="1"/>
    <col min="6161" max="6400" width="10" style="100"/>
    <col min="6401" max="6401" width="11.140625" style="100" customWidth="1"/>
    <col min="6402" max="6402" width="27.5703125" style="100" customWidth="1"/>
    <col min="6403" max="6403" width="13" style="100" customWidth="1"/>
    <col min="6404" max="6415" width="10" style="100" customWidth="1"/>
    <col min="6416" max="6416" width="7" style="100" customWidth="1"/>
    <col min="6417" max="6656" width="10" style="100"/>
    <col min="6657" max="6657" width="11.140625" style="100" customWidth="1"/>
    <col min="6658" max="6658" width="27.5703125" style="100" customWidth="1"/>
    <col min="6659" max="6659" width="13" style="100" customWidth="1"/>
    <col min="6660" max="6671" width="10" style="100" customWidth="1"/>
    <col min="6672" max="6672" width="7" style="100" customWidth="1"/>
    <col min="6673" max="6912" width="10" style="100"/>
    <col min="6913" max="6913" width="11.140625" style="100" customWidth="1"/>
    <col min="6914" max="6914" width="27.5703125" style="100" customWidth="1"/>
    <col min="6915" max="6915" width="13" style="100" customWidth="1"/>
    <col min="6916" max="6927" width="10" style="100" customWidth="1"/>
    <col min="6928" max="6928" width="7" style="100" customWidth="1"/>
    <col min="6929" max="7168" width="10" style="100"/>
    <col min="7169" max="7169" width="11.140625" style="100" customWidth="1"/>
    <col min="7170" max="7170" width="27.5703125" style="100" customWidth="1"/>
    <col min="7171" max="7171" width="13" style="100" customWidth="1"/>
    <col min="7172" max="7183" width="10" style="100" customWidth="1"/>
    <col min="7184" max="7184" width="7" style="100" customWidth="1"/>
    <col min="7185" max="7424" width="10" style="100"/>
    <col min="7425" max="7425" width="11.140625" style="100" customWidth="1"/>
    <col min="7426" max="7426" width="27.5703125" style="100" customWidth="1"/>
    <col min="7427" max="7427" width="13" style="100" customWidth="1"/>
    <col min="7428" max="7439" width="10" style="100" customWidth="1"/>
    <col min="7440" max="7440" width="7" style="100" customWidth="1"/>
    <col min="7441" max="7680" width="10" style="100"/>
    <col min="7681" max="7681" width="11.140625" style="100" customWidth="1"/>
    <col min="7682" max="7682" width="27.5703125" style="100" customWidth="1"/>
    <col min="7683" max="7683" width="13" style="100" customWidth="1"/>
    <col min="7684" max="7695" width="10" style="100" customWidth="1"/>
    <col min="7696" max="7696" width="7" style="100" customWidth="1"/>
    <col min="7697" max="7936" width="10" style="100"/>
    <col min="7937" max="7937" width="11.140625" style="100" customWidth="1"/>
    <col min="7938" max="7938" width="27.5703125" style="100" customWidth="1"/>
    <col min="7939" max="7939" width="13" style="100" customWidth="1"/>
    <col min="7940" max="7951" width="10" style="100" customWidth="1"/>
    <col min="7952" max="7952" width="7" style="100" customWidth="1"/>
    <col min="7953" max="8192" width="10" style="100"/>
    <col min="8193" max="8193" width="11.140625" style="100" customWidth="1"/>
    <col min="8194" max="8194" width="27.5703125" style="100" customWidth="1"/>
    <col min="8195" max="8195" width="13" style="100" customWidth="1"/>
    <col min="8196" max="8207" width="10" style="100" customWidth="1"/>
    <col min="8208" max="8208" width="7" style="100" customWidth="1"/>
    <col min="8209" max="8448" width="10" style="100"/>
    <col min="8449" max="8449" width="11.140625" style="100" customWidth="1"/>
    <col min="8450" max="8450" width="27.5703125" style="100" customWidth="1"/>
    <col min="8451" max="8451" width="13" style="100" customWidth="1"/>
    <col min="8452" max="8463" width="10" style="100" customWidth="1"/>
    <col min="8464" max="8464" width="7" style="100" customWidth="1"/>
    <col min="8465" max="8704" width="10" style="100"/>
    <col min="8705" max="8705" width="11.140625" style="100" customWidth="1"/>
    <col min="8706" max="8706" width="27.5703125" style="100" customWidth="1"/>
    <col min="8707" max="8707" width="13" style="100" customWidth="1"/>
    <col min="8708" max="8719" width="10" style="100" customWidth="1"/>
    <col min="8720" max="8720" width="7" style="100" customWidth="1"/>
    <col min="8721" max="8960" width="10" style="100"/>
    <col min="8961" max="8961" width="11.140625" style="100" customWidth="1"/>
    <col min="8962" max="8962" width="27.5703125" style="100" customWidth="1"/>
    <col min="8963" max="8963" width="13" style="100" customWidth="1"/>
    <col min="8964" max="8975" width="10" style="100" customWidth="1"/>
    <col min="8976" max="8976" width="7" style="100" customWidth="1"/>
    <col min="8977" max="9216" width="10" style="100"/>
    <col min="9217" max="9217" width="11.140625" style="100" customWidth="1"/>
    <col min="9218" max="9218" width="27.5703125" style="100" customWidth="1"/>
    <col min="9219" max="9219" width="13" style="100" customWidth="1"/>
    <col min="9220" max="9231" width="10" style="100" customWidth="1"/>
    <col min="9232" max="9232" width="7" style="100" customWidth="1"/>
    <col min="9233" max="9472" width="10" style="100"/>
    <col min="9473" max="9473" width="11.140625" style="100" customWidth="1"/>
    <col min="9474" max="9474" width="27.5703125" style="100" customWidth="1"/>
    <col min="9475" max="9475" width="13" style="100" customWidth="1"/>
    <col min="9476" max="9487" width="10" style="100" customWidth="1"/>
    <col min="9488" max="9488" width="7" style="100" customWidth="1"/>
    <col min="9489" max="9728" width="10" style="100"/>
    <col min="9729" max="9729" width="11.140625" style="100" customWidth="1"/>
    <col min="9730" max="9730" width="27.5703125" style="100" customWidth="1"/>
    <col min="9731" max="9731" width="13" style="100" customWidth="1"/>
    <col min="9732" max="9743" width="10" style="100" customWidth="1"/>
    <col min="9744" max="9744" width="7" style="100" customWidth="1"/>
    <col min="9745" max="9984" width="10" style="100"/>
    <col min="9985" max="9985" width="11.140625" style="100" customWidth="1"/>
    <col min="9986" max="9986" width="27.5703125" style="100" customWidth="1"/>
    <col min="9987" max="9987" width="13" style="100" customWidth="1"/>
    <col min="9988" max="9999" width="10" style="100" customWidth="1"/>
    <col min="10000" max="10000" width="7" style="100" customWidth="1"/>
    <col min="10001" max="10240" width="10" style="100"/>
    <col min="10241" max="10241" width="11.140625" style="100" customWidth="1"/>
    <col min="10242" max="10242" width="27.5703125" style="100" customWidth="1"/>
    <col min="10243" max="10243" width="13" style="100" customWidth="1"/>
    <col min="10244" max="10255" width="10" style="100" customWidth="1"/>
    <col min="10256" max="10256" width="7" style="100" customWidth="1"/>
    <col min="10257" max="10496" width="10" style="100"/>
    <col min="10497" max="10497" width="11.140625" style="100" customWidth="1"/>
    <col min="10498" max="10498" width="27.5703125" style="100" customWidth="1"/>
    <col min="10499" max="10499" width="13" style="100" customWidth="1"/>
    <col min="10500" max="10511" width="10" style="100" customWidth="1"/>
    <col min="10512" max="10512" width="7" style="100" customWidth="1"/>
    <col min="10513" max="10752" width="10" style="100"/>
    <col min="10753" max="10753" width="11.140625" style="100" customWidth="1"/>
    <col min="10754" max="10754" width="27.5703125" style="100" customWidth="1"/>
    <col min="10755" max="10755" width="13" style="100" customWidth="1"/>
    <col min="10756" max="10767" width="10" style="100" customWidth="1"/>
    <col min="10768" max="10768" width="7" style="100" customWidth="1"/>
    <col min="10769" max="11008" width="10" style="100"/>
    <col min="11009" max="11009" width="11.140625" style="100" customWidth="1"/>
    <col min="11010" max="11010" width="27.5703125" style="100" customWidth="1"/>
    <col min="11011" max="11011" width="13" style="100" customWidth="1"/>
    <col min="11012" max="11023" width="10" style="100" customWidth="1"/>
    <col min="11024" max="11024" width="7" style="100" customWidth="1"/>
    <col min="11025" max="11264" width="10" style="100"/>
    <col min="11265" max="11265" width="11.140625" style="100" customWidth="1"/>
    <col min="11266" max="11266" width="27.5703125" style="100" customWidth="1"/>
    <col min="11267" max="11267" width="13" style="100" customWidth="1"/>
    <col min="11268" max="11279" width="10" style="100" customWidth="1"/>
    <col min="11280" max="11280" width="7" style="100" customWidth="1"/>
    <col min="11281" max="11520" width="10" style="100"/>
    <col min="11521" max="11521" width="11.140625" style="100" customWidth="1"/>
    <col min="11522" max="11522" width="27.5703125" style="100" customWidth="1"/>
    <col min="11523" max="11523" width="13" style="100" customWidth="1"/>
    <col min="11524" max="11535" width="10" style="100" customWidth="1"/>
    <col min="11536" max="11536" width="7" style="100" customWidth="1"/>
    <col min="11537" max="11776" width="10" style="100"/>
    <col min="11777" max="11777" width="11.140625" style="100" customWidth="1"/>
    <col min="11778" max="11778" width="27.5703125" style="100" customWidth="1"/>
    <col min="11779" max="11779" width="13" style="100" customWidth="1"/>
    <col min="11780" max="11791" width="10" style="100" customWidth="1"/>
    <col min="11792" max="11792" width="7" style="100" customWidth="1"/>
    <col min="11793" max="12032" width="10" style="100"/>
    <col min="12033" max="12033" width="11.140625" style="100" customWidth="1"/>
    <col min="12034" max="12034" width="27.5703125" style="100" customWidth="1"/>
    <col min="12035" max="12035" width="13" style="100" customWidth="1"/>
    <col min="12036" max="12047" width="10" style="100" customWidth="1"/>
    <col min="12048" max="12048" width="7" style="100" customWidth="1"/>
    <col min="12049" max="12288" width="10" style="100"/>
    <col min="12289" max="12289" width="11.140625" style="100" customWidth="1"/>
    <col min="12290" max="12290" width="27.5703125" style="100" customWidth="1"/>
    <col min="12291" max="12291" width="13" style="100" customWidth="1"/>
    <col min="12292" max="12303" width="10" style="100" customWidth="1"/>
    <col min="12304" max="12304" width="7" style="100" customWidth="1"/>
    <col min="12305" max="12544" width="10" style="100"/>
    <col min="12545" max="12545" width="11.140625" style="100" customWidth="1"/>
    <col min="12546" max="12546" width="27.5703125" style="100" customWidth="1"/>
    <col min="12547" max="12547" width="13" style="100" customWidth="1"/>
    <col min="12548" max="12559" width="10" style="100" customWidth="1"/>
    <col min="12560" max="12560" width="7" style="100" customWidth="1"/>
    <col min="12561" max="12800" width="10" style="100"/>
    <col min="12801" max="12801" width="11.140625" style="100" customWidth="1"/>
    <col min="12802" max="12802" width="27.5703125" style="100" customWidth="1"/>
    <col min="12803" max="12803" width="13" style="100" customWidth="1"/>
    <col min="12804" max="12815" width="10" style="100" customWidth="1"/>
    <col min="12816" max="12816" width="7" style="100" customWidth="1"/>
    <col min="12817" max="13056" width="10" style="100"/>
    <col min="13057" max="13057" width="11.140625" style="100" customWidth="1"/>
    <col min="13058" max="13058" width="27.5703125" style="100" customWidth="1"/>
    <col min="13059" max="13059" width="13" style="100" customWidth="1"/>
    <col min="13060" max="13071" width="10" style="100" customWidth="1"/>
    <col min="13072" max="13072" width="7" style="100" customWidth="1"/>
    <col min="13073" max="13312" width="10" style="100"/>
    <col min="13313" max="13313" width="11.140625" style="100" customWidth="1"/>
    <col min="13314" max="13314" width="27.5703125" style="100" customWidth="1"/>
    <col min="13315" max="13315" width="13" style="100" customWidth="1"/>
    <col min="13316" max="13327" width="10" style="100" customWidth="1"/>
    <col min="13328" max="13328" width="7" style="100" customWidth="1"/>
    <col min="13329" max="13568" width="10" style="100"/>
    <col min="13569" max="13569" width="11.140625" style="100" customWidth="1"/>
    <col min="13570" max="13570" width="27.5703125" style="100" customWidth="1"/>
    <col min="13571" max="13571" width="13" style="100" customWidth="1"/>
    <col min="13572" max="13583" width="10" style="100" customWidth="1"/>
    <col min="13584" max="13584" width="7" style="100" customWidth="1"/>
    <col min="13585" max="13824" width="10" style="100"/>
    <col min="13825" max="13825" width="11.140625" style="100" customWidth="1"/>
    <col min="13826" max="13826" width="27.5703125" style="100" customWidth="1"/>
    <col min="13827" max="13827" width="13" style="100" customWidth="1"/>
    <col min="13828" max="13839" width="10" style="100" customWidth="1"/>
    <col min="13840" max="13840" width="7" style="100" customWidth="1"/>
    <col min="13841" max="14080" width="10" style="100"/>
    <col min="14081" max="14081" width="11.140625" style="100" customWidth="1"/>
    <col min="14082" max="14082" width="27.5703125" style="100" customWidth="1"/>
    <col min="14083" max="14083" width="13" style="100" customWidth="1"/>
    <col min="14084" max="14095" width="10" style="100" customWidth="1"/>
    <col min="14096" max="14096" width="7" style="100" customWidth="1"/>
    <col min="14097" max="14336" width="10" style="100"/>
    <col min="14337" max="14337" width="11.140625" style="100" customWidth="1"/>
    <col min="14338" max="14338" width="27.5703125" style="100" customWidth="1"/>
    <col min="14339" max="14339" width="13" style="100" customWidth="1"/>
    <col min="14340" max="14351" width="10" style="100" customWidth="1"/>
    <col min="14352" max="14352" width="7" style="100" customWidth="1"/>
    <col min="14353" max="14592" width="10" style="100"/>
    <col min="14593" max="14593" width="11.140625" style="100" customWidth="1"/>
    <col min="14594" max="14594" width="27.5703125" style="100" customWidth="1"/>
    <col min="14595" max="14595" width="13" style="100" customWidth="1"/>
    <col min="14596" max="14607" width="10" style="100" customWidth="1"/>
    <col min="14608" max="14608" width="7" style="100" customWidth="1"/>
    <col min="14609" max="14848" width="10" style="100"/>
    <col min="14849" max="14849" width="11.140625" style="100" customWidth="1"/>
    <col min="14850" max="14850" width="27.5703125" style="100" customWidth="1"/>
    <col min="14851" max="14851" width="13" style="100" customWidth="1"/>
    <col min="14852" max="14863" width="10" style="100" customWidth="1"/>
    <col min="14864" max="14864" width="7" style="100" customWidth="1"/>
    <col min="14865" max="15104" width="10" style="100"/>
    <col min="15105" max="15105" width="11.140625" style="100" customWidth="1"/>
    <col min="15106" max="15106" width="27.5703125" style="100" customWidth="1"/>
    <col min="15107" max="15107" width="13" style="100" customWidth="1"/>
    <col min="15108" max="15119" width="10" style="100" customWidth="1"/>
    <col min="15120" max="15120" width="7" style="100" customWidth="1"/>
    <col min="15121" max="15360" width="10" style="100"/>
    <col min="15361" max="15361" width="11.140625" style="100" customWidth="1"/>
    <col min="15362" max="15362" width="27.5703125" style="100" customWidth="1"/>
    <col min="15363" max="15363" width="13" style="100" customWidth="1"/>
    <col min="15364" max="15375" width="10" style="100" customWidth="1"/>
    <col min="15376" max="15376" width="7" style="100" customWidth="1"/>
    <col min="15377" max="15616" width="10" style="100"/>
    <col min="15617" max="15617" width="11.140625" style="100" customWidth="1"/>
    <col min="15618" max="15618" width="27.5703125" style="100" customWidth="1"/>
    <col min="15619" max="15619" width="13" style="100" customWidth="1"/>
    <col min="15620" max="15631" width="10" style="100" customWidth="1"/>
    <col min="15632" max="15632" width="7" style="100" customWidth="1"/>
    <col min="15633" max="15872" width="10" style="100"/>
    <col min="15873" max="15873" width="11.140625" style="100" customWidth="1"/>
    <col min="15874" max="15874" width="27.5703125" style="100" customWidth="1"/>
    <col min="15875" max="15875" width="13" style="100" customWidth="1"/>
    <col min="15876" max="15887" width="10" style="100" customWidth="1"/>
    <col min="15888" max="15888" width="7" style="100" customWidth="1"/>
    <col min="15889" max="16128" width="10" style="100"/>
    <col min="16129" max="16129" width="11.140625" style="100" customWidth="1"/>
    <col min="16130" max="16130" width="27.5703125" style="100" customWidth="1"/>
    <col min="16131" max="16131" width="13" style="100" customWidth="1"/>
    <col min="16132" max="16143" width="10" style="100" customWidth="1"/>
    <col min="16144" max="16144" width="7" style="100" customWidth="1"/>
    <col min="16145" max="16384" width="10" style="100"/>
  </cols>
  <sheetData>
    <row r="1" spans="1:16" ht="21.95" customHeight="1" x14ac:dyDescent="0.25">
      <c r="A1" s="98" t="s">
        <v>313</v>
      </c>
      <c r="B1" s="98"/>
      <c r="C1" s="98"/>
      <c r="D1" s="98"/>
      <c r="E1" s="98"/>
      <c r="F1" s="98"/>
      <c r="G1" s="98"/>
      <c r="H1" s="98"/>
      <c r="I1" s="98"/>
      <c r="J1" s="99" t="s">
        <v>314</v>
      </c>
      <c r="K1" s="99"/>
      <c r="L1" s="99"/>
      <c r="M1" s="99"/>
    </row>
    <row r="2" spans="1:16" ht="21.95" customHeight="1" thickBot="1" x14ac:dyDescent="0.3">
      <c r="B2" s="101" t="s">
        <v>315</v>
      </c>
      <c r="C2" s="101"/>
      <c r="D2" s="101"/>
      <c r="E2" s="101"/>
      <c r="F2" s="101"/>
      <c r="G2" s="101"/>
      <c r="H2" s="101"/>
      <c r="J2" s="99"/>
      <c r="K2" s="99"/>
      <c r="L2" s="99"/>
      <c r="M2" s="99"/>
    </row>
    <row r="3" spans="1:16" ht="21.95" customHeight="1" thickBot="1" x14ac:dyDescent="0.3">
      <c r="A3" s="102" t="s">
        <v>316</v>
      </c>
      <c r="B3" s="102" t="s">
        <v>317</v>
      </c>
      <c r="C3" s="102" t="s">
        <v>318</v>
      </c>
      <c r="D3" s="102" t="s">
        <v>319</v>
      </c>
      <c r="E3" s="102" t="s">
        <v>320</v>
      </c>
      <c r="F3" s="102" t="s">
        <v>321</v>
      </c>
      <c r="G3" s="103" t="s">
        <v>322</v>
      </c>
      <c r="H3" s="104" t="s">
        <v>323</v>
      </c>
      <c r="I3" s="103" t="s">
        <v>324</v>
      </c>
      <c r="J3" s="103" t="s">
        <v>325</v>
      </c>
      <c r="K3" s="105" t="s">
        <v>326</v>
      </c>
      <c r="L3" s="106"/>
      <c r="M3" s="106"/>
      <c r="N3" s="106"/>
      <c r="O3" s="106"/>
      <c r="P3" s="106"/>
    </row>
    <row r="4" spans="1:16" ht="21.95" customHeight="1" thickBot="1" x14ac:dyDescent="0.3">
      <c r="A4" s="102"/>
      <c r="B4" s="102"/>
      <c r="C4" s="102"/>
      <c r="D4" s="102"/>
      <c r="E4" s="102"/>
      <c r="F4" s="102"/>
      <c r="G4" s="107"/>
      <c r="H4" s="104"/>
      <c r="I4" s="107"/>
      <c r="J4" s="107"/>
      <c r="K4" s="106"/>
      <c r="L4" s="106"/>
      <c r="M4" s="106"/>
      <c r="N4" s="106"/>
      <c r="O4" s="106"/>
      <c r="P4" s="106"/>
    </row>
    <row r="5" spans="1:16" ht="21.95" customHeight="1" thickBot="1" x14ac:dyDescent="0.3">
      <c r="A5" s="108" t="s">
        <v>327</v>
      </c>
      <c r="B5" s="109" t="s">
        <v>328</v>
      </c>
      <c r="C5" s="110">
        <v>7</v>
      </c>
      <c r="D5" s="111">
        <v>5</v>
      </c>
      <c r="E5" s="111">
        <v>6</v>
      </c>
      <c r="F5" s="112">
        <f>(C5+D5+E5*2)/4</f>
        <v>6</v>
      </c>
      <c r="G5" s="112">
        <f>VLOOKUP(LEFT(A5,1),$A$16:$B$18,2,0)</f>
        <v>0.5</v>
      </c>
      <c r="H5" s="113">
        <f>F5+G5</f>
        <v>6.5</v>
      </c>
      <c r="I5" s="114" t="str">
        <f>IF(AND(F5&gt;5,C5&gt;=5,D5&gt;=5,E5&gt;=5),"ĐẬU","RỚT")</f>
        <v>ĐẬU</v>
      </c>
      <c r="J5" s="114" t="str">
        <f>IF(F5&gt;=8,"GIỎI",IF(AND(F5&lt;8,F5&gt;=6),"KHA",IF(AND(F5&lt;6,F5&gt;=5),"TB","YẾU")))</f>
        <v>KHA</v>
      </c>
      <c r="K5" s="106"/>
      <c r="L5" s="106"/>
      <c r="M5" s="106"/>
      <c r="N5" s="106"/>
      <c r="O5" s="106"/>
      <c r="P5" s="106"/>
    </row>
    <row r="6" spans="1:16" ht="21.95" customHeight="1" thickBot="1" x14ac:dyDescent="0.3">
      <c r="A6" s="115" t="s">
        <v>329</v>
      </c>
      <c r="B6" s="116" t="s">
        <v>330</v>
      </c>
      <c r="C6" s="117">
        <v>9</v>
      </c>
      <c r="D6" s="118">
        <v>8</v>
      </c>
      <c r="E6" s="118">
        <v>9</v>
      </c>
      <c r="F6" s="112">
        <f t="shared" ref="F6:F12" si="0">(C6+D6+E6*2)/4</f>
        <v>8.75</v>
      </c>
      <c r="G6" s="112">
        <f t="shared" ref="G6:G12" si="1">VLOOKUP(LEFT(A6,1),$A$16:$B$18,2,0)</f>
        <v>0.5</v>
      </c>
      <c r="H6" s="113">
        <f t="shared" ref="H6:H12" si="2">F6+G6</f>
        <v>9.25</v>
      </c>
      <c r="I6" s="114" t="str">
        <f t="shared" ref="I6:I12" si="3">IF(AND(F6&gt;5,C6&gt;=5,D6&gt;=5,E6&gt;=5),"ĐẬU","RỚT")</f>
        <v>ĐẬU</v>
      </c>
      <c r="J6" s="114" t="str">
        <f t="shared" ref="J6:J12" si="4">IF(F6&gt;=8,"GIỎI",IF(AND(F6&lt;8,F6&gt;=6),"KHA",IF(AND(F6&lt;6,F6&gt;=5),"TB","YẾU")))</f>
        <v>GIỎI</v>
      </c>
      <c r="K6" s="106"/>
      <c r="L6" s="106"/>
      <c r="M6" s="106"/>
      <c r="N6" s="106"/>
      <c r="O6" s="106"/>
      <c r="P6" s="106"/>
    </row>
    <row r="7" spans="1:16" ht="21.95" customHeight="1" thickBot="1" x14ac:dyDescent="0.3">
      <c r="A7" s="115" t="s">
        <v>331</v>
      </c>
      <c r="B7" s="116" t="s">
        <v>332</v>
      </c>
      <c r="C7" s="117">
        <v>8</v>
      </c>
      <c r="D7" s="118">
        <v>6</v>
      </c>
      <c r="E7" s="118">
        <v>6</v>
      </c>
      <c r="F7" s="112">
        <f t="shared" si="0"/>
        <v>6.5</v>
      </c>
      <c r="G7" s="112">
        <f t="shared" si="1"/>
        <v>1</v>
      </c>
      <c r="H7" s="113">
        <f t="shared" si="2"/>
        <v>7.5</v>
      </c>
      <c r="I7" s="114" t="str">
        <f t="shared" si="3"/>
        <v>ĐẬU</v>
      </c>
      <c r="J7" s="114" t="str">
        <f t="shared" si="4"/>
        <v>KHA</v>
      </c>
      <c r="K7" s="106"/>
      <c r="L7" s="106"/>
      <c r="M7" s="106"/>
      <c r="N7" s="106"/>
      <c r="O7" s="106"/>
      <c r="P7" s="106"/>
    </row>
    <row r="8" spans="1:16" ht="21.95" customHeight="1" thickBot="1" x14ac:dyDescent="0.3">
      <c r="A8" s="115" t="s">
        <v>333</v>
      </c>
      <c r="B8" s="116" t="s">
        <v>334</v>
      </c>
      <c r="C8" s="117">
        <v>8</v>
      </c>
      <c r="D8" s="118">
        <v>7</v>
      </c>
      <c r="E8" s="118">
        <v>4</v>
      </c>
      <c r="F8" s="112">
        <f t="shared" si="0"/>
        <v>5.75</v>
      </c>
      <c r="G8" s="112">
        <f t="shared" si="1"/>
        <v>0.5</v>
      </c>
      <c r="H8" s="113">
        <f t="shared" si="2"/>
        <v>6.25</v>
      </c>
      <c r="I8" s="114" t="str">
        <f t="shared" si="3"/>
        <v>RỚT</v>
      </c>
      <c r="J8" s="114" t="str">
        <f t="shared" si="4"/>
        <v>TB</v>
      </c>
      <c r="K8" s="106"/>
      <c r="L8" s="106"/>
      <c r="M8" s="106"/>
      <c r="N8" s="106"/>
      <c r="O8" s="106"/>
      <c r="P8" s="106"/>
    </row>
    <row r="9" spans="1:16" ht="21.95" customHeight="1" thickBot="1" x14ac:dyDescent="0.3">
      <c r="A9" s="115" t="s">
        <v>335</v>
      </c>
      <c r="B9" s="116" t="s">
        <v>336</v>
      </c>
      <c r="C9" s="117">
        <v>10</v>
      </c>
      <c r="D9" s="118">
        <v>8</v>
      </c>
      <c r="E9" s="118">
        <v>6</v>
      </c>
      <c r="F9" s="112">
        <f t="shared" si="0"/>
        <v>7.5</v>
      </c>
      <c r="G9" s="112">
        <f t="shared" si="1"/>
        <v>1</v>
      </c>
      <c r="H9" s="113">
        <f t="shared" si="2"/>
        <v>8.5</v>
      </c>
      <c r="I9" s="114" t="str">
        <f t="shared" si="3"/>
        <v>ĐẬU</v>
      </c>
      <c r="J9" s="114" t="str">
        <f t="shared" si="4"/>
        <v>KHA</v>
      </c>
      <c r="K9" s="106"/>
      <c r="L9" s="106"/>
      <c r="M9" s="106"/>
      <c r="N9" s="106"/>
      <c r="O9" s="106"/>
      <c r="P9" s="106"/>
    </row>
    <row r="10" spans="1:16" ht="21.95" customHeight="1" thickBot="1" x14ac:dyDescent="0.3">
      <c r="A10" s="115" t="s">
        <v>337</v>
      </c>
      <c r="B10" s="116" t="s">
        <v>338</v>
      </c>
      <c r="C10" s="117">
        <v>10</v>
      </c>
      <c r="D10" s="118">
        <v>10</v>
      </c>
      <c r="E10" s="118">
        <v>6</v>
      </c>
      <c r="F10" s="112">
        <f t="shared" si="0"/>
        <v>8</v>
      </c>
      <c r="G10" s="112">
        <f t="shared" si="1"/>
        <v>2</v>
      </c>
      <c r="H10" s="113">
        <f t="shared" si="2"/>
        <v>10</v>
      </c>
      <c r="I10" s="114" t="str">
        <f t="shared" si="3"/>
        <v>ĐẬU</v>
      </c>
      <c r="J10" s="114" t="str">
        <f t="shared" si="4"/>
        <v>GIỎI</v>
      </c>
      <c r="K10" s="106"/>
      <c r="L10" s="106"/>
      <c r="M10" s="106"/>
      <c r="N10" s="106"/>
      <c r="O10" s="106"/>
      <c r="P10" s="106"/>
    </row>
    <row r="11" spans="1:16" ht="21.95" customHeight="1" thickBot="1" x14ac:dyDescent="0.3">
      <c r="A11" s="115" t="s">
        <v>339</v>
      </c>
      <c r="B11" s="116" t="s">
        <v>340</v>
      </c>
      <c r="C11" s="117">
        <v>10</v>
      </c>
      <c r="D11" s="118">
        <v>7</v>
      </c>
      <c r="E11" s="118">
        <v>7</v>
      </c>
      <c r="F11" s="112">
        <f t="shared" si="0"/>
        <v>7.75</v>
      </c>
      <c r="G11" s="112">
        <f t="shared" si="1"/>
        <v>2</v>
      </c>
      <c r="H11" s="113">
        <f t="shared" si="2"/>
        <v>9.75</v>
      </c>
      <c r="I11" s="114" t="str">
        <f t="shared" si="3"/>
        <v>ĐẬU</v>
      </c>
      <c r="J11" s="114" t="str">
        <f t="shared" si="4"/>
        <v>KHA</v>
      </c>
      <c r="K11" s="106"/>
      <c r="L11" s="106"/>
      <c r="M11" s="106"/>
      <c r="N11" s="106"/>
      <c r="O11" s="106"/>
      <c r="P11" s="106"/>
    </row>
    <row r="12" spans="1:16" ht="21.95" customHeight="1" thickBot="1" x14ac:dyDescent="0.3">
      <c r="A12" s="115" t="s">
        <v>341</v>
      </c>
      <c r="B12" s="116" t="s">
        <v>342</v>
      </c>
      <c r="C12" s="117">
        <v>3</v>
      </c>
      <c r="D12" s="118">
        <v>8</v>
      </c>
      <c r="E12" s="118">
        <v>6</v>
      </c>
      <c r="F12" s="112">
        <f t="shared" si="0"/>
        <v>5.75</v>
      </c>
      <c r="G12" s="112">
        <f t="shared" si="1"/>
        <v>0.5</v>
      </c>
      <c r="H12" s="113">
        <f t="shared" si="2"/>
        <v>6.25</v>
      </c>
      <c r="I12" s="114" t="str">
        <f t="shared" si="3"/>
        <v>RỚT</v>
      </c>
      <c r="J12" s="114" t="str">
        <f t="shared" si="4"/>
        <v>TB</v>
      </c>
      <c r="K12" s="106"/>
      <c r="L12" s="106"/>
      <c r="M12" s="106"/>
      <c r="N12" s="106"/>
      <c r="O12" s="106"/>
      <c r="P12" s="106"/>
    </row>
    <row r="13" spans="1:16" ht="21.95" customHeight="1" thickBot="1" x14ac:dyDescent="0.3">
      <c r="K13" s="106"/>
      <c r="L13" s="106"/>
      <c r="M13" s="106"/>
      <c r="N13" s="106"/>
      <c r="O13" s="106"/>
      <c r="P13" s="106"/>
    </row>
    <row r="14" spans="1:16" ht="21.95" customHeight="1" thickBot="1" x14ac:dyDescent="0.3">
      <c r="A14" s="101" t="s">
        <v>343</v>
      </c>
      <c r="B14" s="101"/>
      <c r="F14" s="119" t="s">
        <v>344</v>
      </c>
      <c r="G14" s="119"/>
      <c r="H14" s="119"/>
      <c r="I14" s="119"/>
      <c r="J14" s="120">
        <f>COUNTIF(I5:I12,"ĐẬU")</f>
        <v>6</v>
      </c>
      <c r="K14" s="106"/>
      <c r="L14" s="106"/>
      <c r="M14" s="106"/>
      <c r="N14" s="106"/>
      <c r="O14" s="106"/>
      <c r="P14" s="106"/>
    </row>
    <row r="15" spans="1:16" ht="21.95" customHeight="1" thickBot="1" x14ac:dyDescent="0.3">
      <c r="A15" s="121" t="s">
        <v>345</v>
      </c>
      <c r="B15" s="122" t="s">
        <v>346</v>
      </c>
      <c r="F15" s="119" t="s">
        <v>347</v>
      </c>
      <c r="G15" s="119"/>
      <c r="H15" s="119"/>
      <c r="I15" s="119"/>
      <c r="J15" s="120">
        <f>COUNTIF(I6:I13,"RỚT")</f>
        <v>2</v>
      </c>
      <c r="K15" s="106"/>
      <c r="L15" s="106"/>
      <c r="M15" s="106"/>
      <c r="N15" s="106"/>
      <c r="O15" s="106"/>
      <c r="P15" s="106"/>
    </row>
    <row r="16" spans="1:16" ht="21.95" customHeight="1" thickBot="1" x14ac:dyDescent="0.3">
      <c r="A16" s="123" t="s">
        <v>72</v>
      </c>
      <c r="B16" s="124">
        <v>0.5</v>
      </c>
      <c r="F16" s="119" t="s">
        <v>348</v>
      </c>
      <c r="G16" s="119"/>
      <c r="H16" s="119"/>
      <c r="I16" s="119"/>
      <c r="J16" s="120">
        <f>COUNTIF(F5:F12,"&gt;=8")</f>
        <v>2</v>
      </c>
      <c r="K16" s="106"/>
      <c r="L16" s="106"/>
      <c r="M16" s="106"/>
      <c r="N16" s="106"/>
      <c r="O16" s="106"/>
      <c r="P16" s="106"/>
    </row>
    <row r="17" spans="1:13" ht="21.95" customHeight="1" thickBot="1" x14ac:dyDescent="0.3">
      <c r="A17" s="125" t="s">
        <v>83</v>
      </c>
      <c r="B17" s="126">
        <v>1</v>
      </c>
      <c r="F17" s="119" t="s">
        <v>349</v>
      </c>
      <c r="G17" s="119"/>
      <c r="H17" s="119"/>
      <c r="I17" s="119"/>
      <c r="J17" s="127">
        <f>MIN(F5:F12)</f>
        <v>5.75</v>
      </c>
    </row>
    <row r="18" spans="1:13" ht="21.95" customHeight="1" thickBot="1" x14ac:dyDescent="0.3">
      <c r="A18" s="125" t="s">
        <v>70</v>
      </c>
      <c r="B18" s="126">
        <v>2</v>
      </c>
      <c r="F18" s="119" t="s">
        <v>350</v>
      </c>
      <c r="G18" s="119"/>
      <c r="H18" s="119"/>
      <c r="I18" s="119"/>
      <c r="J18" s="127">
        <f>MAX(F5:F12)</f>
        <v>8.75</v>
      </c>
      <c r="K18" s="128"/>
    </row>
    <row r="22" spans="1:13" x14ac:dyDescent="0.25">
      <c r="M22" s="128"/>
    </row>
  </sheetData>
  <sheetProtection selectLockedCells="1" selectUnlockedCells="1"/>
  <mergeCells count="20">
    <mergeCell ref="F17:I17"/>
    <mergeCell ref="F18:I18"/>
    <mergeCell ref="H3:H4"/>
    <mergeCell ref="I3:I4"/>
    <mergeCell ref="J3:J4"/>
    <mergeCell ref="K3:P16"/>
    <mergeCell ref="A14:B14"/>
    <mergeCell ref="F14:I14"/>
    <mergeCell ref="F15:I15"/>
    <mergeCell ref="F16:I16"/>
    <mergeCell ref="A1:I1"/>
    <mergeCell ref="J1:M2"/>
    <mergeCell ref="B2:H2"/>
    <mergeCell ref="A3:A4"/>
    <mergeCell ref="B3:B4"/>
    <mergeCell ref="C3:C4"/>
    <mergeCell ref="D3:D4"/>
    <mergeCell ref="E3:E4"/>
    <mergeCell ref="F3:F4"/>
    <mergeCell ref="G3:G4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XFD1048576"/>
    </sheetView>
  </sheetViews>
  <sheetFormatPr defaultRowHeight="15" x14ac:dyDescent="0.25"/>
  <cols>
    <col min="2" max="2" width="10.7109375" style="53" bestFit="1" customWidth="1"/>
    <col min="3" max="3" width="9.7109375" bestFit="1" customWidth="1"/>
    <col min="4" max="4" width="10.85546875" bestFit="1" customWidth="1"/>
    <col min="5" max="5" width="9.140625" style="55"/>
    <col min="6" max="6" width="12.140625" bestFit="1" customWidth="1"/>
    <col min="7" max="7" width="16.28515625" style="59" bestFit="1" customWidth="1"/>
  </cols>
  <sheetData>
    <row r="1" spans="1:7" x14ac:dyDescent="0.25">
      <c r="A1" t="s">
        <v>133</v>
      </c>
    </row>
    <row r="2" spans="1:7" x14ac:dyDescent="0.25">
      <c r="A2" s="56" t="s">
        <v>49</v>
      </c>
      <c r="B2" s="57" t="s">
        <v>134</v>
      </c>
      <c r="C2" s="56" t="s">
        <v>5</v>
      </c>
      <c r="D2" s="56" t="s">
        <v>50</v>
      </c>
      <c r="E2" s="58" t="s">
        <v>135</v>
      </c>
      <c r="F2" s="56" t="s">
        <v>53</v>
      </c>
      <c r="G2" s="60" t="s">
        <v>136</v>
      </c>
    </row>
    <row r="3" spans="1:7" x14ac:dyDescent="0.25">
      <c r="A3" s="56">
        <v>3</v>
      </c>
      <c r="B3" s="57">
        <v>40345</v>
      </c>
      <c r="C3" s="56" t="s">
        <v>139</v>
      </c>
      <c r="D3" s="56">
        <v>15</v>
      </c>
      <c r="E3" s="58">
        <v>300</v>
      </c>
      <c r="F3" s="58">
        <f t="shared" ref="F3:F8" si="0">D3*E3</f>
        <v>4500</v>
      </c>
      <c r="G3" s="60">
        <f t="shared" ref="G3:G8" si="1">F3*20500</f>
        <v>92250000</v>
      </c>
    </row>
    <row r="4" spans="1:7" x14ac:dyDescent="0.25">
      <c r="A4" s="56">
        <v>4</v>
      </c>
      <c r="B4" s="57">
        <v>40347</v>
      </c>
      <c r="C4" s="56" t="s">
        <v>140</v>
      </c>
      <c r="D4" s="56">
        <v>8</v>
      </c>
      <c r="E4" s="58">
        <v>400</v>
      </c>
      <c r="F4" s="58">
        <f t="shared" si="0"/>
        <v>3200</v>
      </c>
      <c r="G4" s="60">
        <f t="shared" si="1"/>
        <v>65600000</v>
      </c>
    </row>
    <row r="5" spans="1:7" x14ac:dyDescent="0.25">
      <c r="A5" s="56">
        <v>5</v>
      </c>
      <c r="B5" s="57">
        <v>40370</v>
      </c>
      <c r="C5" s="56" t="s">
        <v>141</v>
      </c>
      <c r="D5" s="56">
        <v>9</v>
      </c>
      <c r="E5" s="58">
        <v>300</v>
      </c>
      <c r="F5" s="58">
        <f t="shared" si="0"/>
        <v>2700</v>
      </c>
      <c r="G5" s="60">
        <f t="shared" si="1"/>
        <v>55350000</v>
      </c>
    </row>
    <row r="6" spans="1:7" x14ac:dyDescent="0.25">
      <c r="A6" s="56">
        <v>6</v>
      </c>
      <c r="B6" s="57">
        <v>40370</v>
      </c>
      <c r="C6" s="56" t="s">
        <v>142</v>
      </c>
      <c r="D6" s="56">
        <v>25</v>
      </c>
      <c r="E6" s="58">
        <v>300</v>
      </c>
      <c r="F6" s="58">
        <f t="shared" si="0"/>
        <v>7500</v>
      </c>
      <c r="G6" s="60">
        <f t="shared" si="1"/>
        <v>153750000</v>
      </c>
    </row>
    <row r="7" spans="1:7" x14ac:dyDescent="0.25">
      <c r="A7" s="56">
        <v>2</v>
      </c>
      <c r="B7" s="57">
        <v>40345</v>
      </c>
      <c r="C7" s="56" t="s">
        <v>138</v>
      </c>
      <c r="D7" s="56">
        <v>20</v>
      </c>
      <c r="E7" s="58">
        <v>100</v>
      </c>
      <c r="F7" s="58">
        <f t="shared" si="0"/>
        <v>2000</v>
      </c>
      <c r="G7" s="60">
        <f t="shared" si="1"/>
        <v>41000000</v>
      </c>
    </row>
    <row r="8" spans="1:7" x14ac:dyDescent="0.25">
      <c r="A8" s="56">
        <v>1</v>
      </c>
      <c r="B8" s="57">
        <v>40207</v>
      </c>
      <c r="C8" s="56" t="s">
        <v>137</v>
      </c>
      <c r="D8" s="56">
        <v>10</v>
      </c>
      <c r="E8" s="58">
        <v>200</v>
      </c>
      <c r="F8" s="58">
        <f t="shared" si="0"/>
        <v>2000</v>
      </c>
      <c r="G8" s="60">
        <f t="shared" si="1"/>
        <v>41000000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A17" sqref="A17:B17"/>
    </sheetView>
  </sheetViews>
  <sheetFormatPr defaultRowHeight="15" x14ac:dyDescent="0.25"/>
  <cols>
    <col min="1" max="1" width="11" style="129" customWidth="1"/>
    <col min="2" max="4" width="9.140625" style="1"/>
    <col min="5" max="8" width="9.140625" style="130"/>
    <col min="9" max="16384" width="9.140625" style="1"/>
  </cols>
  <sheetData>
    <row r="1" spans="1:10" x14ac:dyDescent="0.25">
      <c r="A1" s="129" t="s">
        <v>315</v>
      </c>
    </row>
    <row r="2" spans="1:10" x14ac:dyDescent="0.25">
      <c r="A2" s="131" t="s">
        <v>49</v>
      </c>
      <c r="B2" s="49" t="s">
        <v>351</v>
      </c>
      <c r="C2" s="49" t="s">
        <v>352</v>
      </c>
      <c r="D2" s="49" t="s">
        <v>353</v>
      </c>
      <c r="E2" s="132" t="s">
        <v>97</v>
      </c>
      <c r="F2" s="132" t="s">
        <v>354</v>
      </c>
      <c r="G2" s="132" t="s">
        <v>259</v>
      </c>
      <c r="H2" s="132" t="s">
        <v>321</v>
      </c>
      <c r="I2" s="49" t="s">
        <v>355</v>
      </c>
      <c r="J2" s="49" t="s">
        <v>132</v>
      </c>
    </row>
    <row r="3" spans="1:10" x14ac:dyDescent="0.25">
      <c r="A3" s="131" t="s">
        <v>156</v>
      </c>
      <c r="B3" s="49" t="s">
        <v>356</v>
      </c>
      <c r="C3" s="49" t="s">
        <v>32</v>
      </c>
      <c r="D3" s="49">
        <v>1988</v>
      </c>
      <c r="E3" s="132">
        <v>10</v>
      </c>
      <c r="F3" s="132">
        <v>8</v>
      </c>
      <c r="G3" s="132">
        <v>9</v>
      </c>
      <c r="H3" s="132"/>
      <c r="I3" s="49"/>
      <c r="J3" s="49"/>
    </row>
    <row r="4" spans="1:10" x14ac:dyDescent="0.25">
      <c r="A4" s="131" t="s">
        <v>157</v>
      </c>
      <c r="B4" s="49" t="s">
        <v>357</v>
      </c>
      <c r="C4" s="49" t="s">
        <v>32</v>
      </c>
      <c r="D4" s="49">
        <v>1987</v>
      </c>
      <c r="E4" s="132">
        <v>8</v>
      </c>
      <c r="F4" s="132">
        <v>8.5</v>
      </c>
      <c r="G4" s="132">
        <v>9</v>
      </c>
      <c r="H4" s="132"/>
      <c r="I4" s="49"/>
      <c r="J4" s="49"/>
    </row>
    <row r="5" spans="1:10" x14ac:dyDescent="0.25">
      <c r="A5" s="131" t="s">
        <v>158</v>
      </c>
      <c r="B5" s="49" t="s">
        <v>358</v>
      </c>
      <c r="C5" s="49" t="s">
        <v>32</v>
      </c>
      <c r="D5" s="49">
        <v>1986</v>
      </c>
      <c r="E5" s="132">
        <v>9</v>
      </c>
      <c r="F5" s="132">
        <v>8</v>
      </c>
      <c r="G5" s="132">
        <v>7</v>
      </c>
      <c r="H5" s="132"/>
      <c r="I5" s="49"/>
      <c r="J5" s="49"/>
    </row>
    <row r="6" spans="1:10" x14ac:dyDescent="0.25">
      <c r="A6" s="131" t="s">
        <v>159</v>
      </c>
      <c r="B6" s="49" t="s">
        <v>359</v>
      </c>
      <c r="C6" s="49" t="s">
        <v>365</v>
      </c>
      <c r="D6" s="49">
        <v>1988</v>
      </c>
      <c r="E6" s="132">
        <v>10</v>
      </c>
      <c r="F6" s="132">
        <v>4</v>
      </c>
      <c r="G6" s="132">
        <v>7</v>
      </c>
      <c r="H6" s="132"/>
      <c r="I6" s="49"/>
      <c r="J6" s="49"/>
    </row>
    <row r="7" spans="1:10" x14ac:dyDescent="0.25">
      <c r="A7" s="131" t="s">
        <v>160</v>
      </c>
      <c r="B7" s="49" t="s">
        <v>28</v>
      </c>
      <c r="C7" s="49" t="s">
        <v>32</v>
      </c>
      <c r="D7" s="49">
        <v>1988</v>
      </c>
      <c r="E7" s="132">
        <v>9</v>
      </c>
      <c r="F7" s="132">
        <v>5</v>
      </c>
      <c r="G7" s="132">
        <v>6</v>
      </c>
      <c r="H7" s="132"/>
      <c r="I7" s="49"/>
      <c r="J7" s="49"/>
    </row>
    <row r="8" spans="1:10" x14ac:dyDescent="0.25">
      <c r="A8" s="131" t="s">
        <v>161</v>
      </c>
      <c r="B8" s="49" t="s">
        <v>360</v>
      </c>
      <c r="C8" s="49" t="s">
        <v>365</v>
      </c>
      <c r="D8" s="49">
        <v>1987</v>
      </c>
      <c r="E8" s="132">
        <v>6</v>
      </c>
      <c r="F8" s="132">
        <v>6</v>
      </c>
      <c r="G8" s="132">
        <v>8</v>
      </c>
      <c r="H8" s="132"/>
      <c r="I8" s="49"/>
      <c r="J8" s="49"/>
    </row>
    <row r="9" spans="1:10" x14ac:dyDescent="0.25">
      <c r="A9" s="131" t="s">
        <v>162</v>
      </c>
      <c r="B9" s="49" t="s">
        <v>361</v>
      </c>
      <c r="C9" s="49" t="s">
        <v>32</v>
      </c>
      <c r="D9" s="49">
        <v>1986</v>
      </c>
      <c r="E9" s="132">
        <v>7.5</v>
      </c>
      <c r="F9" s="132">
        <v>5</v>
      </c>
      <c r="G9" s="132">
        <v>6</v>
      </c>
      <c r="H9" s="132"/>
      <c r="I9" s="49"/>
      <c r="J9" s="49"/>
    </row>
    <row r="10" spans="1:10" x14ac:dyDescent="0.25">
      <c r="A10" s="131" t="s">
        <v>163</v>
      </c>
      <c r="B10" s="49" t="s">
        <v>32</v>
      </c>
      <c r="C10" s="49" t="s">
        <v>32</v>
      </c>
      <c r="D10" s="49">
        <v>1988</v>
      </c>
      <c r="E10" s="132">
        <v>3</v>
      </c>
      <c r="F10" s="132">
        <v>9</v>
      </c>
      <c r="G10" s="132">
        <v>7</v>
      </c>
      <c r="H10" s="132"/>
      <c r="I10" s="49"/>
      <c r="J10" s="49"/>
    </row>
    <row r="11" spans="1:10" x14ac:dyDescent="0.25">
      <c r="A11" s="131" t="s">
        <v>164</v>
      </c>
      <c r="B11" s="49" t="s">
        <v>362</v>
      </c>
      <c r="C11" s="49" t="s">
        <v>365</v>
      </c>
      <c r="D11" s="49">
        <v>1988</v>
      </c>
      <c r="E11" s="132">
        <v>4</v>
      </c>
      <c r="F11" s="132">
        <v>5</v>
      </c>
      <c r="G11" s="132">
        <v>5.5</v>
      </c>
      <c r="H11" s="132"/>
      <c r="I11" s="49"/>
      <c r="J11" s="49"/>
    </row>
    <row r="12" spans="1:10" x14ac:dyDescent="0.25">
      <c r="A12" s="131" t="s">
        <v>165</v>
      </c>
      <c r="B12" s="49" t="s">
        <v>252</v>
      </c>
      <c r="C12" s="49" t="s">
        <v>366</v>
      </c>
      <c r="D12" s="49">
        <v>1988</v>
      </c>
      <c r="E12" s="132">
        <v>4.5</v>
      </c>
      <c r="F12" s="132">
        <v>6</v>
      </c>
      <c r="G12" s="132">
        <v>4</v>
      </c>
      <c r="H12" s="132"/>
      <c r="I12" s="49"/>
      <c r="J12" s="49"/>
    </row>
    <row r="13" spans="1:10" x14ac:dyDescent="0.25">
      <c r="A13" s="131" t="s">
        <v>166</v>
      </c>
      <c r="B13" s="49" t="s">
        <v>363</v>
      </c>
      <c r="C13" s="49" t="s">
        <v>32</v>
      </c>
      <c r="D13" s="49">
        <v>1987</v>
      </c>
      <c r="E13" s="132">
        <v>3</v>
      </c>
      <c r="F13" s="132">
        <v>5</v>
      </c>
      <c r="G13" s="132">
        <v>5</v>
      </c>
      <c r="H13" s="132"/>
      <c r="I13" s="49"/>
      <c r="J13" s="49"/>
    </row>
    <row r="14" spans="1:10" x14ac:dyDescent="0.25">
      <c r="A14" s="131" t="s">
        <v>167</v>
      </c>
      <c r="B14" s="49" t="s">
        <v>364</v>
      </c>
      <c r="C14" s="49" t="s">
        <v>32</v>
      </c>
      <c r="D14" s="49">
        <v>1986</v>
      </c>
      <c r="E14" s="132">
        <v>4</v>
      </c>
      <c r="F14" s="132">
        <v>3</v>
      </c>
      <c r="G14" s="132">
        <v>5</v>
      </c>
      <c r="H14" s="132"/>
      <c r="I14" s="49"/>
      <c r="J14" s="49"/>
    </row>
    <row r="15" spans="1:10" x14ac:dyDescent="0.25">
      <c r="A15" s="133" t="s">
        <v>367</v>
      </c>
      <c r="B15" s="134"/>
      <c r="C15" s="49"/>
      <c r="D15" s="49"/>
      <c r="E15" s="132"/>
      <c r="F15" s="132"/>
      <c r="G15" s="132"/>
      <c r="H15" s="132"/>
      <c r="I15" s="49"/>
      <c r="J15" s="49"/>
    </row>
    <row r="16" spans="1:10" x14ac:dyDescent="0.25">
      <c r="A16" s="133" t="s">
        <v>368</v>
      </c>
      <c r="B16" s="134"/>
      <c r="C16" s="49"/>
      <c r="D16" s="49"/>
      <c r="E16" s="132"/>
      <c r="F16" s="132"/>
      <c r="G16" s="132"/>
      <c r="H16" s="132"/>
      <c r="I16" s="49"/>
      <c r="J16" s="49"/>
    </row>
    <row r="17" spans="1:10" x14ac:dyDescent="0.25">
      <c r="A17" s="133" t="s">
        <v>369</v>
      </c>
      <c r="B17" s="134"/>
      <c r="C17" s="49"/>
      <c r="D17" s="49"/>
      <c r="E17" s="132"/>
      <c r="F17" s="132"/>
      <c r="G17" s="132"/>
      <c r="H17" s="132"/>
      <c r="I17" s="49"/>
      <c r="J17" s="49"/>
    </row>
  </sheetData>
  <mergeCells count="3">
    <mergeCell ref="A15:B15"/>
    <mergeCell ref="A16:B16"/>
    <mergeCell ref="A17:B1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opLeftCell="A4" workbookViewId="0">
      <selection activeCell="D7" sqref="D7"/>
    </sheetView>
  </sheetViews>
  <sheetFormatPr defaultRowHeight="15" x14ac:dyDescent="0.25"/>
  <cols>
    <col min="2" max="2" width="19.7109375" bestFit="1" customWidth="1"/>
  </cols>
  <sheetData>
    <row r="4" spans="1:7" x14ac:dyDescent="0.25">
      <c r="A4" t="s">
        <v>370</v>
      </c>
    </row>
    <row r="5" spans="1:7" x14ac:dyDescent="0.25">
      <c r="A5" s="56" t="s">
        <v>49</v>
      </c>
      <c r="B5" s="56" t="s">
        <v>371</v>
      </c>
      <c r="C5" s="56" t="s">
        <v>145</v>
      </c>
      <c r="D5" s="56" t="s">
        <v>352</v>
      </c>
      <c r="E5" s="56" t="s">
        <v>372</v>
      </c>
      <c r="F5" s="56" t="s">
        <v>373</v>
      </c>
      <c r="G5" s="56" t="s">
        <v>374</v>
      </c>
    </row>
    <row r="6" spans="1:7" x14ac:dyDescent="0.25">
      <c r="A6" s="56">
        <v>1</v>
      </c>
      <c r="B6" s="56" t="s">
        <v>375</v>
      </c>
      <c r="C6" s="56" t="s">
        <v>376</v>
      </c>
      <c r="D6" s="56" t="s">
        <v>32</v>
      </c>
      <c r="E6" s="56">
        <v>25</v>
      </c>
      <c r="F6" s="56"/>
      <c r="G6" s="56"/>
    </row>
    <row r="7" spans="1:7" x14ac:dyDescent="0.25">
      <c r="A7" s="56">
        <v>2</v>
      </c>
      <c r="B7" s="56" t="s">
        <v>383</v>
      </c>
      <c r="C7" s="56" t="s">
        <v>384</v>
      </c>
      <c r="D7" s="56" t="s">
        <v>32</v>
      </c>
      <c r="E7" s="56">
        <v>24</v>
      </c>
      <c r="F7" s="56"/>
      <c r="G7" s="56"/>
    </row>
    <row r="8" spans="1:7" x14ac:dyDescent="0.25">
      <c r="A8" s="56">
        <v>3</v>
      </c>
      <c r="B8" s="56" t="s">
        <v>377</v>
      </c>
      <c r="C8" s="56" t="s">
        <v>378</v>
      </c>
      <c r="D8" s="56" t="s">
        <v>365</v>
      </c>
      <c r="E8" s="56">
        <v>30</v>
      </c>
      <c r="F8" s="56"/>
      <c r="G8" s="56"/>
    </row>
    <row r="9" spans="1:7" x14ac:dyDescent="0.25">
      <c r="A9" s="56">
        <v>4</v>
      </c>
      <c r="B9" s="56" t="s">
        <v>379</v>
      </c>
      <c r="C9" s="56" t="s">
        <v>380</v>
      </c>
      <c r="D9" s="56" t="s">
        <v>365</v>
      </c>
      <c r="E9" s="56">
        <v>22</v>
      </c>
      <c r="F9" s="56"/>
      <c r="G9" s="56"/>
    </row>
    <row r="10" spans="1:7" x14ac:dyDescent="0.25">
      <c r="A10" s="56">
        <v>5</v>
      </c>
      <c r="B10" s="56" t="s">
        <v>381</v>
      </c>
      <c r="C10" s="56" t="s">
        <v>32</v>
      </c>
      <c r="D10" s="56" t="s">
        <v>32</v>
      </c>
      <c r="E10" s="56">
        <v>27</v>
      </c>
      <c r="F10" s="56"/>
      <c r="G10" s="56"/>
    </row>
    <row r="11" spans="1:7" x14ac:dyDescent="0.25">
      <c r="A11" s="56">
        <v>6</v>
      </c>
      <c r="B11" s="56" t="s">
        <v>382</v>
      </c>
      <c r="C11" s="56" t="s">
        <v>251</v>
      </c>
      <c r="D11" s="56" t="s">
        <v>365</v>
      </c>
      <c r="E11" s="56">
        <v>25</v>
      </c>
      <c r="F11" s="56"/>
      <c r="G11" s="5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workbookViewId="0">
      <selection activeCell="A16" sqref="A16"/>
    </sheetView>
  </sheetViews>
  <sheetFormatPr defaultRowHeight="15" x14ac:dyDescent="0.25"/>
  <cols>
    <col min="3" max="3" width="10.85546875" bestFit="1" customWidth="1"/>
  </cols>
  <sheetData>
    <row r="1" spans="1:9" x14ac:dyDescent="0.25">
      <c r="A1" t="s">
        <v>417</v>
      </c>
    </row>
    <row r="2" spans="1:9" x14ac:dyDescent="0.25">
      <c r="A2" t="s">
        <v>418</v>
      </c>
    </row>
    <row r="3" spans="1:9" x14ac:dyDescent="0.25">
      <c r="A3" t="s">
        <v>419</v>
      </c>
    </row>
    <row r="4" spans="1:9" x14ac:dyDescent="0.25">
      <c r="A4" t="s">
        <v>420</v>
      </c>
    </row>
    <row r="5" spans="1:9" x14ac:dyDescent="0.25">
      <c r="B5" t="s">
        <v>421</v>
      </c>
      <c r="C5" t="s">
        <v>422</v>
      </c>
    </row>
    <row r="6" spans="1:9" x14ac:dyDescent="0.25">
      <c r="A6" t="s">
        <v>423</v>
      </c>
      <c r="B6">
        <v>500</v>
      </c>
      <c r="C6">
        <v>150</v>
      </c>
    </row>
    <row r="7" spans="1:9" x14ac:dyDescent="0.25">
      <c r="A7" t="s">
        <v>424</v>
      </c>
      <c r="B7">
        <v>450</v>
      </c>
      <c r="C7">
        <v>120</v>
      </c>
    </row>
    <row r="8" spans="1:9" x14ac:dyDescent="0.25">
      <c r="A8" t="s">
        <v>425</v>
      </c>
      <c r="B8">
        <v>200</v>
      </c>
      <c r="C8">
        <v>100</v>
      </c>
    </row>
    <row r="9" spans="1:9" x14ac:dyDescent="0.25">
      <c r="A9" t="s">
        <v>426</v>
      </c>
      <c r="B9" t="s">
        <v>427</v>
      </c>
      <c r="C9" t="s">
        <v>50</v>
      </c>
      <c r="D9" t="s">
        <v>423</v>
      </c>
      <c r="F9" t="s">
        <v>424</v>
      </c>
      <c r="H9" t="s">
        <v>428</v>
      </c>
    </row>
    <row r="10" spans="1:9" x14ac:dyDescent="0.25">
      <c r="D10" t="s">
        <v>429</v>
      </c>
      <c r="E10" t="s">
        <v>430</v>
      </c>
      <c r="F10" t="s">
        <v>429</v>
      </c>
      <c r="G10" t="s">
        <v>430</v>
      </c>
      <c r="H10" t="s">
        <v>429</v>
      </c>
      <c r="I10" t="s">
        <v>430</v>
      </c>
    </row>
    <row r="11" spans="1:9" x14ac:dyDescent="0.25">
      <c r="A11" t="s">
        <v>431</v>
      </c>
      <c r="B11" t="s">
        <v>432</v>
      </c>
    </row>
    <row r="12" spans="1:9" x14ac:dyDescent="0.25">
      <c r="A12" t="s">
        <v>433</v>
      </c>
      <c r="B12" t="s">
        <v>434</v>
      </c>
    </row>
    <row r="13" spans="1:9" x14ac:dyDescent="0.25">
      <c r="A13" t="s">
        <v>435</v>
      </c>
      <c r="B13" t="s">
        <v>436</v>
      </c>
    </row>
    <row r="14" spans="1:9" x14ac:dyDescent="0.25">
      <c r="A14" t="s">
        <v>437</v>
      </c>
      <c r="B14" t="s">
        <v>438</v>
      </c>
    </row>
    <row r="15" spans="1:9" x14ac:dyDescent="0.25">
      <c r="A15" t="s">
        <v>439</v>
      </c>
      <c r="B15" t="s">
        <v>440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>
    <row r="1" spans="1:1" x14ac:dyDescent="0.25">
      <c r="A1">
        <v>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B2" sqref="B2"/>
    </sheetView>
  </sheetViews>
  <sheetFormatPr defaultRowHeight="15" x14ac:dyDescent="0.25"/>
  <cols>
    <col min="2" max="2" width="20.140625" bestFit="1" customWidth="1"/>
    <col min="4" max="4" width="10.7109375" bestFit="1" customWidth="1"/>
  </cols>
  <sheetData>
    <row r="1" spans="1:9" x14ac:dyDescent="0.25">
      <c r="A1" t="s">
        <v>385</v>
      </c>
    </row>
    <row r="2" spans="1:9" x14ac:dyDescent="0.25">
      <c r="A2" s="56" t="s">
        <v>49</v>
      </c>
      <c r="B2" s="56" t="s">
        <v>386</v>
      </c>
      <c r="C2" s="56" t="s">
        <v>387</v>
      </c>
      <c r="D2" s="56" t="s">
        <v>388</v>
      </c>
      <c r="E2" s="56" t="s">
        <v>146</v>
      </c>
      <c r="F2" s="56" t="s">
        <v>389</v>
      </c>
      <c r="G2" s="56" t="s">
        <v>390</v>
      </c>
      <c r="H2" s="56" t="s">
        <v>391</v>
      </c>
      <c r="I2" s="56"/>
    </row>
    <row r="3" spans="1:9" x14ac:dyDescent="0.25">
      <c r="A3" s="56">
        <v>1</v>
      </c>
      <c r="B3" s="56" t="s">
        <v>392</v>
      </c>
      <c r="C3" s="56" t="s">
        <v>117</v>
      </c>
      <c r="D3" s="57">
        <v>27811</v>
      </c>
      <c r="E3" s="56">
        <v>120000</v>
      </c>
      <c r="F3" s="56">
        <v>25</v>
      </c>
      <c r="G3" s="56"/>
      <c r="H3" s="56"/>
      <c r="I3" s="56"/>
    </row>
    <row r="4" spans="1:9" x14ac:dyDescent="0.25">
      <c r="A4" s="56">
        <v>2</v>
      </c>
      <c r="B4" s="56" t="s">
        <v>393</v>
      </c>
      <c r="C4" s="56" t="s">
        <v>407</v>
      </c>
      <c r="D4" s="57">
        <v>27659</v>
      </c>
      <c r="E4" s="56">
        <v>160000</v>
      </c>
      <c r="F4" s="56">
        <v>24</v>
      </c>
      <c r="G4" s="56"/>
      <c r="H4" s="56"/>
      <c r="I4" s="56"/>
    </row>
    <row r="5" spans="1:9" x14ac:dyDescent="0.25">
      <c r="A5" s="56">
        <v>3</v>
      </c>
      <c r="B5" s="56" t="s">
        <v>394</v>
      </c>
      <c r="C5" s="56" t="s">
        <v>408</v>
      </c>
      <c r="D5" s="57">
        <v>24972</v>
      </c>
      <c r="E5" s="56">
        <v>150000</v>
      </c>
      <c r="F5" s="56">
        <v>26</v>
      </c>
      <c r="G5" s="56"/>
      <c r="H5" s="56"/>
      <c r="I5" s="56"/>
    </row>
    <row r="6" spans="1:9" x14ac:dyDescent="0.25">
      <c r="A6" s="56">
        <v>4</v>
      </c>
      <c r="B6" s="56" t="s">
        <v>395</v>
      </c>
      <c r="C6" s="56" t="s">
        <v>407</v>
      </c>
      <c r="D6" s="57">
        <v>21231</v>
      </c>
      <c r="E6" s="56">
        <v>130000</v>
      </c>
      <c r="F6" s="56">
        <v>20</v>
      </c>
      <c r="G6" s="56"/>
      <c r="H6" s="56"/>
      <c r="I6" s="56"/>
    </row>
    <row r="7" spans="1:9" x14ac:dyDescent="0.25">
      <c r="A7" s="56">
        <v>5</v>
      </c>
      <c r="B7" s="56" t="s">
        <v>396</v>
      </c>
      <c r="C7" s="56" t="s">
        <v>188</v>
      </c>
      <c r="D7" s="57">
        <v>28728</v>
      </c>
      <c r="E7" s="56">
        <v>180000</v>
      </c>
      <c r="F7" s="56">
        <v>23</v>
      </c>
      <c r="G7" s="56"/>
      <c r="H7" s="56"/>
      <c r="I7" s="56"/>
    </row>
    <row r="8" spans="1:9" x14ac:dyDescent="0.25">
      <c r="A8" s="56">
        <v>6</v>
      </c>
      <c r="B8" s="56" t="s">
        <v>397</v>
      </c>
      <c r="C8" s="56" t="s">
        <v>409</v>
      </c>
      <c r="D8" s="57">
        <v>25432</v>
      </c>
      <c r="E8" s="56">
        <v>150000</v>
      </c>
      <c r="F8" s="56">
        <v>24</v>
      </c>
      <c r="G8" s="56"/>
      <c r="H8" s="56"/>
      <c r="I8" s="56"/>
    </row>
    <row r="9" spans="1:9" x14ac:dyDescent="0.25">
      <c r="A9" s="56">
        <v>7</v>
      </c>
      <c r="B9" s="56" t="s">
        <v>398</v>
      </c>
      <c r="C9" s="56" t="s">
        <v>408</v>
      </c>
      <c r="D9" s="57">
        <v>25430</v>
      </c>
      <c r="E9" s="56">
        <v>140000</v>
      </c>
      <c r="F9" s="56">
        <v>27</v>
      </c>
      <c r="G9" s="56"/>
      <c r="H9" s="56"/>
      <c r="I9" s="56"/>
    </row>
    <row r="10" spans="1:9" x14ac:dyDescent="0.25">
      <c r="A10" s="56">
        <v>8</v>
      </c>
      <c r="B10" s="56" t="s">
        <v>399</v>
      </c>
      <c r="C10" s="56" t="s">
        <v>410</v>
      </c>
      <c r="D10" s="57">
        <v>20796</v>
      </c>
      <c r="E10" s="56">
        <v>160000</v>
      </c>
      <c r="F10" s="56">
        <v>14</v>
      </c>
      <c r="G10" s="56"/>
      <c r="H10" s="56"/>
      <c r="I10" s="56"/>
    </row>
    <row r="11" spans="1:9" x14ac:dyDescent="0.25">
      <c r="A11" s="56">
        <v>9</v>
      </c>
      <c r="B11" s="56" t="s">
        <v>400</v>
      </c>
      <c r="C11" s="56" t="s">
        <v>409</v>
      </c>
      <c r="D11" s="57">
        <v>22194</v>
      </c>
      <c r="E11" s="56">
        <v>150000</v>
      </c>
      <c r="F11" s="56">
        <v>17</v>
      </c>
      <c r="G11" s="56"/>
      <c r="H11" s="56"/>
      <c r="I11" s="56"/>
    </row>
    <row r="12" spans="1:9" x14ac:dyDescent="0.25">
      <c r="A12" s="56">
        <v>10</v>
      </c>
      <c r="B12" s="56" t="s">
        <v>401</v>
      </c>
      <c r="C12" s="56" t="s">
        <v>407</v>
      </c>
      <c r="D12" s="57">
        <v>19859</v>
      </c>
      <c r="E12" s="56">
        <v>130000</v>
      </c>
      <c r="F12" s="56">
        <v>23</v>
      </c>
      <c r="G12" s="56"/>
      <c r="H12" s="56"/>
      <c r="I12" s="56"/>
    </row>
    <row r="13" spans="1:9" x14ac:dyDescent="0.25">
      <c r="A13" s="56">
        <v>11</v>
      </c>
      <c r="B13" s="56" t="s">
        <v>402</v>
      </c>
      <c r="C13" s="56" t="s">
        <v>117</v>
      </c>
      <c r="D13" s="56" t="s">
        <v>412</v>
      </c>
      <c r="E13" s="56">
        <v>180000</v>
      </c>
      <c r="F13" s="56">
        <v>22</v>
      </c>
      <c r="G13" s="56"/>
      <c r="H13" s="56"/>
      <c r="I13" s="56"/>
    </row>
    <row r="14" spans="1:9" x14ac:dyDescent="0.25">
      <c r="A14" s="56">
        <v>12</v>
      </c>
      <c r="B14" s="56" t="s">
        <v>403</v>
      </c>
      <c r="C14" s="56" t="s">
        <v>407</v>
      </c>
      <c r="D14" s="57">
        <v>25465</v>
      </c>
      <c r="E14" s="56">
        <v>150000</v>
      </c>
      <c r="F14" s="56">
        <v>14</v>
      </c>
      <c r="G14" s="56"/>
      <c r="H14" s="56"/>
      <c r="I14" s="56"/>
    </row>
    <row r="15" spans="1:9" x14ac:dyDescent="0.25">
      <c r="A15" s="56">
        <v>13</v>
      </c>
      <c r="B15" s="56" t="s">
        <v>404</v>
      </c>
      <c r="C15" s="56" t="s">
        <v>411</v>
      </c>
      <c r="D15" s="57">
        <v>21438</v>
      </c>
      <c r="E15" s="56">
        <v>180000</v>
      </c>
      <c r="F15" s="56">
        <v>23</v>
      </c>
      <c r="G15" s="56"/>
      <c r="H15" s="56"/>
      <c r="I15" s="56"/>
    </row>
    <row r="16" spans="1:9" x14ac:dyDescent="0.25">
      <c r="A16" s="56">
        <v>14</v>
      </c>
      <c r="B16" s="56" t="s">
        <v>405</v>
      </c>
      <c r="C16" s="56" t="s">
        <v>117</v>
      </c>
      <c r="D16" s="57">
        <v>19983</v>
      </c>
      <c r="E16" s="56">
        <v>160000</v>
      </c>
      <c r="F16" s="56">
        <v>27</v>
      </c>
      <c r="G16" s="56"/>
      <c r="H16" s="56"/>
      <c r="I16" s="56"/>
    </row>
    <row r="17" spans="1:9" x14ac:dyDescent="0.25">
      <c r="A17" s="56">
        <v>15</v>
      </c>
      <c r="B17" s="56" t="s">
        <v>406</v>
      </c>
      <c r="C17" s="56" t="s">
        <v>409</v>
      </c>
      <c r="D17" s="57">
        <v>25074</v>
      </c>
      <c r="E17" s="56">
        <v>130000</v>
      </c>
      <c r="F17" s="56">
        <v>26</v>
      </c>
      <c r="G17" s="56"/>
      <c r="H17" s="56"/>
      <c r="I17" s="56"/>
    </row>
    <row r="18" spans="1:9" x14ac:dyDescent="0.25">
      <c r="A18" s="56"/>
      <c r="B18" s="56" t="s">
        <v>413</v>
      </c>
      <c r="C18" s="56"/>
      <c r="D18" s="56"/>
      <c r="E18" s="56"/>
      <c r="F18" s="56"/>
      <c r="G18" s="56"/>
      <c r="H18" s="56"/>
      <c r="I18" s="56"/>
    </row>
    <row r="19" spans="1:9" x14ac:dyDescent="0.25">
      <c r="A19" s="56"/>
      <c r="B19" s="56" t="s">
        <v>414</v>
      </c>
      <c r="C19" s="56"/>
      <c r="D19" s="56"/>
      <c r="E19" s="56"/>
      <c r="F19" s="56"/>
      <c r="G19" s="56"/>
      <c r="H19" s="56"/>
      <c r="I19" s="56"/>
    </row>
    <row r="20" spans="1:9" x14ac:dyDescent="0.25">
      <c r="A20" s="56"/>
      <c r="B20" s="56" t="s">
        <v>415</v>
      </c>
      <c r="C20" s="56"/>
      <c r="D20" s="56"/>
      <c r="E20" s="56"/>
      <c r="F20" s="56"/>
      <c r="G20" s="56"/>
      <c r="H20" s="56"/>
      <c r="I20" s="56"/>
    </row>
    <row r="21" spans="1:9" x14ac:dyDescent="0.25">
      <c r="A21" s="56"/>
      <c r="B21" s="56" t="s">
        <v>416</v>
      </c>
      <c r="C21" s="56"/>
      <c r="D21" s="56"/>
      <c r="E21" s="56"/>
      <c r="F21" s="56"/>
      <c r="G21" s="56"/>
      <c r="H21" s="56"/>
      <c r="I21" s="56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32"/>
  <sheetViews>
    <sheetView workbookViewId="0">
      <selection activeCell="E31" sqref="E31"/>
    </sheetView>
  </sheetViews>
  <sheetFormatPr defaultRowHeight="15" x14ac:dyDescent="0.25"/>
  <cols>
    <col min="1" max="1" width="9.140625" style="62"/>
    <col min="2" max="2" width="17.85546875" bestFit="1" customWidth="1"/>
    <col min="3" max="3" width="18.7109375" hidden="1" customWidth="1"/>
    <col min="4" max="5" width="18.7109375" customWidth="1"/>
    <col min="6" max="7" width="23" hidden="1" customWidth="1"/>
    <col min="8" max="8" width="17.85546875" bestFit="1" customWidth="1"/>
    <col min="9" max="9" width="17.5703125" bestFit="1" customWidth="1"/>
    <col min="12" max="12" width="12.42578125" bestFit="1" customWidth="1"/>
  </cols>
  <sheetData>
    <row r="1" spans="1:13" x14ac:dyDescent="0.25">
      <c r="A1" s="62" t="s">
        <v>198</v>
      </c>
    </row>
    <row r="2" spans="1:13" hidden="1" x14ac:dyDescent="0.25">
      <c r="A2" s="65" t="s">
        <v>49</v>
      </c>
      <c r="B2" s="56" t="s">
        <v>199</v>
      </c>
      <c r="C2" s="56" t="s">
        <v>200</v>
      </c>
      <c r="D2" s="56" t="s">
        <v>200</v>
      </c>
      <c r="E2" s="56" t="s">
        <v>261</v>
      </c>
      <c r="F2" s="56"/>
      <c r="G2" s="56"/>
      <c r="H2" s="56" t="s">
        <v>201</v>
      </c>
      <c r="I2" s="56" t="s">
        <v>202</v>
      </c>
      <c r="J2" s="56" t="s">
        <v>96</v>
      </c>
      <c r="K2" s="56"/>
      <c r="L2" s="56" t="s">
        <v>203</v>
      </c>
      <c r="M2" s="56" t="s">
        <v>204</v>
      </c>
    </row>
    <row r="3" spans="1:13" x14ac:dyDescent="0.25">
      <c r="A3" s="65" t="s">
        <v>157</v>
      </c>
      <c r="B3" s="56" t="s">
        <v>206</v>
      </c>
      <c r="C3" s="56" t="s">
        <v>216</v>
      </c>
      <c r="D3" s="56" t="str">
        <f t="shared" ref="D3:D17" si="0">LEFT(C3,(LEN(C3)-LEN(E3)))</f>
        <v xml:space="preserve">LÊ THỊ </v>
      </c>
      <c r="E3" s="56" t="s">
        <v>244</v>
      </c>
      <c r="F3" s="56"/>
      <c r="G3" s="56"/>
      <c r="H3" s="56" t="str">
        <f t="shared" ref="H3:H17" si="1">VLOOKUP(LEFT(B3,1),$A$21:$B$24,2,0)</f>
        <v>ĐINH TIÊN HOÀNG</v>
      </c>
      <c r="I3" s="56" t="str">
        <f t="shared" ref="I3:I17" si="2">HLOOKUP(RIGHT(B3,1),$I$23:$L$24,2,0)</f>
        <v xml:space="preserve">VĂN </v>
      </c>
      <c r="J3" s="56">
        <v>9</v>
      </c>
      <c r="K3" s="56"/>
      <c r="L3" s="56" t="str">
        <f t="shared" ref="L3:L17" si="3">IF(AND(J3&lt;10,J3&gt;=9),"GIỎI",IF(AND(J3&lt;9,J3&gt;=7),"KHÁ",IF(AND(J3&lt;7,J3&gt;=5),"TRUNG BÌNH ",IF(AND(J3&gt;0,J3&lt;=5),"KÉM","GIỎI"))))</f>
        <v>GIỎI</v>
      </c>
      <c r="M3" s="56">
        <f t="shared" ref="M3:M17" si="4">RANK(J3,$J$3:$J$17)</f>
        <v>1</v>
      </c>
    </row>
    <row r="4" spans="1:13" x14ac:dyDescent="0.25">
      <c r="A4" s="65" t="s">
        <v>164</v>
      </c>
      <c r="B4" s="56" t="s">
        <v>211</v>
      </c>
      <c r="C4" s="56" t="s">
        <v>253</v>
      </c>
      <c r="D4" s="56" t="str">
        <f t="shared" si="0"/>
        <v xml:space="preserve">NGUYỄN BÍCH </v>
      </c>
      <c r="E4" s="56" t="s">
        <v>254</v>
      </c>
      <c r="F4" s="56"/>
      <c r="G4" s="56"/>
      <c r="H4" s="56" t="str">
        <f t="shared" si="1"/>
        <v>ĐINH TIÊN HOÀNG</v>
      </c>
      <c r="I4" s="56" t="str">
        <f t="shared" si="2"/>
        <v>NGOẠI NGỮ</v>
      </c>
      <c r="J4" s="56">
        <v>9</v>
      </c>
      <c r="K4" s="56"/>
      <c r="L4" s="56" t="str">
        <f t="shared" si="3"/>
        <v>GIỎI</v>
      </c>
      <c r="M4" s="56">
        <f t="shared" si="4"/>
        <v>1</v>
      </c>
    </row>
    <row r="5" spans="1:13" hidden="1" x14ac:dyDescent="0.25">
      <c r="A5" s="65" t="s">
        <v>168</v>
      </c>
      <c r="B5" s="56" t="s">
        <v>211</v>
      </c>
      <c r="C5" s="56" t="s">
        <v>225</v>
      </c>
      <c r="D5" s="56" t="str">
        <f t="shared" si="0"/>
        <v xml:space="preserve">HOÀNG THỊ </v>
      </c>
      <c r="E5" s="56" t="s">
        <v>250</v>
      </c>
      <c r="F5" s="56"/>
      <c r="G5" s="56"/>
      <c r="H5" s="56" t="str">
        <f t="shared" si="1"/>
        <v>ĐINH TIÊN HOÀNG</v>
      </c>
      <c r="I5" s="56" t="str">
        <f t="shared" si="2"/>
        <v>NGOẠI NGỮ</v>
      </c>
      <c r="J5" s="56">
        <v>6</v>
      </c>
      <c r="K5" s="56"/>
      <c r="L5" s="56" t="str">
        <f t="shared" si="3"/>
        <v xml:space="preserve">TRUNG BÌNH </v>
      </c>
      <c r="M5" s="56">
        <f t="shared" si="4"/>
        <v>9</v>
      </c>
    </row>
    <row r="6" spans="1:13" hidden="1" x14ac:dyDescent="0.25">
      <c r="A6" s="65" t="s">
        <v>169</v>
      </c>
      <c r="B6" s="56" t="s">
        <v>212</v>
      </c>
      <c r="C6" s="56" t="s">
        <v>226</v>
      </c>
      <c r="D6" s="56" t="str">
        <f t="shared" si="0"/>
        <v xml:space="preserve">LÊ VĂN </v>
      </c>
      <c r="E6" s="56" t="s">
        <v>251</v>
      </c>
      <c r="F6" s="56"/>
      <c r="G6" s="56"/>
      <c r="H6" s="56" t="str">
        <f t="shared" si="1"/>
        <v>ĐINH TIÊN HOÀNG</v>
      </c>
      <c r="I6" s="56" t="str">
        <f t="shared" si="2"/>
        <v xml:space="preserve">VĂN </v>
      </c>
      <c r="J6" s="56">
        <v>5</v>
      </c>
      <c r="K6" s="56"/>
      <c r="L6" s="56" t="str">
        <f t="shared" si="3"/>
        <v xml:space="preserve">TRUNG BÌNH </v>
      </c>
      <c r="M6" s="56">
        <f t="shared" si="4"/>
        <v>12</v>
      </c>
    </row>
    <row r="7" spans="1:13" x14ac:dyDescent="0.25">
      <c r="A7" s="65" t="s">
        <v>163</v>
      </c>
      <c r="B7" s="56" t="s">
        <v>210</v>
      </c>
      <c r="C7" s="56" t="s">
        <v>221</v>
      </c>
      <c r="D7" s="56" t="str">
        <f t="shared" si="0"/>
        <v xml:space="preserve">HOÀNG VĂN </v>
      </c>
      <c r="E7" s="56" t="s">
        <v>247</v>
      </c>
      <c r="F7" s="56"/>
      <c r="G7" s="56"/>
      <c r="H7" s="56" t="str">
        <f t="shared" si="1"/>
        <v>HÒA BÌNH</v>
      </c>
      <c r="I7" s="56" t="str">
        <f t="shared" si="2"/>
        <v>TOÁN</v>
      </c>
      <c r="J7" s="56">
        <v>8</v>
      </c>
      <c r="K7" s="56"/>
      <c r="L7" s="56" t="str">
        <f t="shared" si="3"/>
        <v>KHÁ</v>
      </c>
      <c r="M7" s="56">
        <f t="shared" si="4"/>
        <v>4</v>
      </c>
    </row>
    <row r="8" spans="1:13" hidden="1" x14ac:dyDescent="0.25">
      <c r="A8" s="65" t="s">
        <v>167</v>
      </c>
      <c r="B8" s="56" t="s">
        <v>205</v>
      </c>
      <c r="C8" s="56" t="s">
        <v>224</v>
      </c>
      <c r="D8" s="56" t="str">
        <f t="shared" si="0"/>
        <v xml:space="preserve">NGUYỄN MINH </v>
      </c>
      <c r="E8" s="56" t="s">
        <v>249</v>
      </c>
      <c r="F8" s="56"/>
      <c r="G8" s="56"/>
      <c r="H8" s="56" t="str">
        <f t="shared" si="1"/>
        <v>HÒA BÌNH</v>
      </c>
      <c r="I8" s="56" t="str">
        <f t="shared" si="2"/>
        <v>TOÁN</v>
      </c>
      <c r="J8" s="56">
        <v>7</v>
      </c>
      <c r="K8" s="56"/>
      <c r="L8" s="56" t="str">
        <f t="shared" si="3"/>
        <v>KHÁ</v>
      </c>
      <c r="M8" s="56">
        <f t="shared" si="4"/>
        <v>6</v>
      </c>
    </row>
    <row r="9" spans="1:13" hidden="1" x14ac:dyDescent="0.25">
      <c r="A9" s="65" t="s">
        <v>156</v>
      </c>
      <c r="B9" s="56" t="s">
        <v>205</v>
      </c>
      <c r="C9" s="56" t="s">
        <v>215</v>
      </c>
      <c r="D9" s="56" t="str">
        <f t="shared" si="0"/>
        <v xml:space="preserve">NGUYỄN VĂN </v>
      </c>
      <c r="E9" s="56" t="s">
        <v>22</v>
      </c>
      <c r="F9" s="56"/>
      <c r="G9" s="56"/>
      <c r="H9" s="56" t="str">
        <f t="shared" si="1"/>
        <v>HÒA BÌNH</v>
      </c>
      <c r="I9" s="56" t="str">
        <f t="shared" si="2"/>
        <v>TOÁN</v>
      </c>
      <c r="J9" s="56">
        <v>5</v>
      </c>
      <c r="K9" s="56"/>
      <c r="L9" s="56" t="str">
        <f t="shared" si="3"/>
        <v xml:space="preserve">TRUNG BÌNH </v>
      </c>
      <c r="M9" s="56">
        <f t="shared" si="4"/>
        <v>12</v>
      </c>
    </row>
    <row r="10" spans="1:13" hidden="1" x14ac:dyDescent="0.25">
      <c r="A10" s="65" t="s">
        <v>158</v>
      </c>
      <c r="B10" s="56" t="s">
        <v>205</v>
      </c>
      <c r="C10" s="56" t="s">
        <v>217</v>
      </c>
      <c r="D10" s="56" t="str">
        <f t="shared" si="0"/>
        <v xml:space="preserve">HOÀNG ANH </v>
      </c>
      <c r="E10" s="56" t="s">
        <v>28</v>
      </c>
      <c r="F10" s="56"/>
      <c r="G10" s="56"/>
      <c r="H10" s="56" t="str">
        <f t="shared" si="1"/>
        <v>HÒA BÌNH</v>
      </c>
      <c r="I10" s="56" t="str">
        <f t="shared" si="2"/>
        <v>TOÁN</v>
      </c>
      <c r="J10" s="56">
        <v>5</v>
      </c>
      <c r="K10" s="56"/>
      <c r="L10" s="56" t="str">
        <f t="shared" si="3"/>
        <v xml:space="preserve">TRUNG BÌNH </v>
      </c>
      <c r="M10" s="56">
        <f t="shared" si="4"/>
        <v>12</v>
      </c>
    </row>
    <row r="11" spans="1:13" x14ac:dyDescent="0.25">
      <c r="A11" s="65" t="s">
        <v>159</v>
      </c>
      <c r="B11" s="56" t="s">
        <v>207</v>
      </c>
      <c r="C11" s="56" t="s">
        <v>218</v>
      </c>
      <c r="D11" s="56" t="str">
        <f t="shared" si="0"/>
        <v xml:space="preserve">LÊ HỮU </v>
      </c>
      <c r="E11" s="56" t="s">
        <v>255</v>
      </c>
      <c r="F11" s="56"/>
      <c r="G11" s="56"/>
      <c r="H11" s="56" t="str">
        <f t="shared" si="1"/>
        <v>NGUYỄN DU</v>
      </c>
      <c r="I11" s="56" t="str">
        <f t="shared" si="2"/>
        <v>NGOẠI NGỮ</v>
      </c>
      <c r="J11" s="56">
        <v>9</v>
      </c>
      <c r="K11" s="56"/>
      <c r="L11" s="56" t="str">
        <f t="shared" si="3"/>
        <v>GIỎI</v>
      </c>
      <c r="M11" s="56">
        <f t="shared" si="4"/>
        <v>1</v>
      </c>
    </row>
    <row r="12" spans="1:13" hidden="1" x14ac:dyDescent="0.25">
      <c r="A12" s="65" t="s">
        <v>162</v>
      </c>
      <c r="B12" s="56" t="s">
        <v>207</v>
      </c>
      <c r="C12" s="56" t="s">
        <v>220</v>
      </c>
      <c r="D12" s="56" t="str">
        <f t="shared" si="0"/>
        <v xml:space="preserve">TÔ BÁ </v>
      </c>
      <c r="E12" s="56" t="s">
        <v>246</v>
      </c>
      <c r="F12" s="56"/>
      <c r="G12" s="56"/>
      <c r="H12" s="56" t="str">
        <f t="shared" si="1"/>
        <v>NGUYỄN DU</v>
      </c>
      <c r="I12" s="56" t="str">
        <f t="shared" si="2"/>
        <v>NGOẠI NGỮ</v>
      </c>
      <c r="J12" s="56">
        <v>6</v>
      </c>
      <c r="K12" s="56"/>
      <c r="L12" s="56" t="str">
        <f t="shared" si="3"/>
        <v xml:space="preserve">TRUNG BÌNH </v>
      </c>
      <c r="M12" s="56">
        <f t="shared" si="4"/>
        <v>9</v>
      </c>
    </row>
    <row r="13" spans="1:13" hidden="1" x14ac:dyDescent="0.25">
      <c r="A13" s="65" t="s">
        <v>165</v>
      </c>
      <c r="B13" s="56" t="s">
        <v>214</v>
      </c>
      <c r="C13" s="56" t="s">
        <v>222</v>
      </c>
      <c r="D13" s="56" t="str">
        <f t="shared" si="0"/>
        <v xml:space="preserve">PHÙNG VĂN </v>
      </c>
      <c r="E13" s="56" t="s">
        <v>257</v>
      </c>
      <c r="F13" s="56"/>
      <c r="G13" s="56"/>
      <c r="H13" s="56" t="str">
        <f t="shared" si="1"/>
        <v>NGUYỄN DU</v>
      </c>
      <c r="I13" s="56" t="str">
        <f t="shared" si="2"/>
        <v>TOÁN</v>
      </c>
      <c r="J13" s="56">
        <v>6</v>
      </c>
      <c r="K13" s="56"/>
      <c r="L13" s="56" t="str">
        <f t="shared" si="3"/>
        <v xml:space="preserve">TRUNG BÌNH </v>
      </c>
      <c r="M13" s="56">
        <f t="shared" si="4"/>
        <v>9</v>
      </c>
    </row>
    <row r="14" spans="1:13" x14ac:dyDescent="0.25">
      <c r="A14" s="65" t="s">
        <v>160</v>
      </c>
      <c r="B14" s="56" t="s">
        <v>208</v>
      </c>
      <c r="C14" s="56" t="s">
        <v>258</v>
      </c>
      <c r="D14" s="56" t="str">
        <f t="shared" si="0"/>
        <v xml:space="preserve">TRẦN MINH </v>
      </c>
      <c r="E14" s="56" t="s">
        <v>256</v>
      </c>
      <c r="F14" s="56"/>
      <c r="G14" s="56"/>
      <c r="H14" s="56" t="str">
        <f t="shared" si="1"/>
        <v>VÕ TRƯỜNG TOẢN</v>
      </c>
      <c r="I14" s="56" t="str">
        <f t="shared" si="2"/>
        <v>TOÁN</v>
      </c>
      <c r="J14" s="56">
        <v>8</v>
      </c>
      <c r="K14" s="56"/>
      <c r="L14" s="56" t="str">
        <f t="shared" si="3"/>
        <v>KHÁ</v>
      </c>
      <c r="M14" s="56">
        <f t="shared" si="4"/>
        <v>4</v>
      </c>
    </row>
    <row r="15" spans="1:13" hidden="1" x14ac:dyDescent="0.25">
      <c r="A15" s="65" t="s">
        <v>161</v>
      </c>
      <c r="B15" s="56" t="s">
        <v>209</v>
      </c>
      <c r="C15" s="56" t="s">
        <v>219</v>
      </c>
      <c r="D15" s="56" t="str">
        <f t="shared" si="0"/>
        <v xml:space="preserve">LÊ THỊ </v>
      </c>
      <c r="E15" s="56" t="s">
        <v>245</v>
      </c>
      <c r="F15" s="56"/>
      <c r="G15" s="56"/>
      <c r="H15" s="56" t="str">
        <f t="shared" si="1"/>
        <v>VÕ TRƯỜNG TOẢN</v>
      </c>
      <c r="I15" s="56" t="str">
        <f t="shared" si="2"/>
        <v xml:space="preserve">VĂN </v>
      </c>
      <c r="J15" s="56">
        <v>7</v>
      </c>
      <c r="K15" s="56"/>
      <c r="L15" s="56" t="str">
        <f t="shared" si="3"/>
        <v>KHÁ</v>
      </c>
      <c r="M15" s="56">
        <f t="shared" si="4"/>
        <v>6</v>
      </c>
    </row>
    <row r="16" spans="1:13" hidden="1" x14ac:dyDescent="0.25">
      <c r="A16" s="65" t="s">
        <v>170</v>
      </c>
      <c r="B16" s="56" t="s">
        <v>213</v>
      </c>
      <c r="C16" s="56" t="s">
        <v>227</v>
      </c>
      <c r="D16" s="56" t="str">
        <f t="shared" si="0"/>
        <v xml:space="preserve">TÔ KIỀU NGA </v>
      </c>
      <c r="E16" s="56" t="s">
        <v>252</v>
      </c>
      <c r="F16" s="56"/>
      <c r="G16" s="56"/>
      <c r="H16" s="56" t="str">
        <f t="shared" si="1"/>
        <v>VÕ TRƯỜNG TOẢN</v>
      </c>
      <c r="I16" s="56" t="str">
        <f t="shared" si="2"/>
        <v>TOÁN</v>
      </c>
      <c r="J16" s="56">
        <v>7</v>
      </c>
      <c r="K16" s="56"/>
      <c r="L16" s="56" t="str">
        <f t="shared" si="3"/>
        <v>KHÁ</v>
      </c>
      <c r="M16" s="56">
        <f t="shared" si="4"/>
        <v>6</v>
      </c>
    </row>
    <row r="17" spans="1:14" hidden="1" x14ac:dyDescent="0.25">
      <c r="A17" s="65" t="s">
        <v>166</v>
      </c>
      <c r="B17" s="56" t="s">
        <v>213</v>
      </c>
      <c r="C17" s="56" t="s">
        <v>223</v>
      </c>
      <c r="D17" s="56" t="str">
        <f t="shared" si="0"/>
        <v xml:space="preserve">TRẦN THỊ </v>
      </c>
      <c r="E17" s="56" t="s">
        <v>248</v>
      </c>
      <c r="F17" s="56"/>
      <c r="G17" s="56"/>
      <c r="H17" s="56" t="str">
        <f t="shared" si="1"/>
        <v>VÕ TRƯỜNG TOẢN</v>
      </c>
      <c r="I17" s="56" t="str">
        <f t="shared" si="2"/>
        <v>TOÁN</v>
      </c>
      <c r="J17" s="56">
        <v>4</v>
      </c>
      <c r="K17" s="56"/>
      <c r="L17" s="56" t="str">
        <f t="shared" si="3"/>
        <v>KÉM</v>
      </c>
      <c r="M17" s="56">
        <f t="shared" si="4"/>
        <v>15</v>
      </c>
    </row>
    <row r="18" spans="1:14" x14ac:dyDescent="0.25">
      <c r="M18" s="56"/>
    </row>
    <row r="19" spans="1:14" x14ac:dyDescent="0.25">
      <c r="A19" s="86" t="s">
        <v>228</v>
      </c>
      <c r="B19" s="86"/>
      <c r="H19" s="56" t="s">
        <v>234</v>
      </c>
      <c r="I19" s="56">
        <v>0</v>
      </c>
      <c r="J19" s="56">
        <v>5</v>
      </c>
      <c r="K19" s="56"/>
      <c r="L19" s="56">
        <v>7</v>
      </c>
      <c r="M19" s="56">
        <v>9</v>
      </c>
      <c r="N19" s="56">
        <v>10</v>
      </c>
    </row>
    <row r="20" spans="1:14" x14ac:dyDescent="0.25">
      <c r="A20" s="65" t="s">
        <v>229</v>
      </c>
      <c r="B20" s="56" t="s">
        <v>201</v>
      </c>
      <c r="H20" s="56" t="s">
        <v>203</v>
      </c>
      <c r="I20" s="56" t="s">
        <v>235</v>
      </c>
      <c r="J20" s="56" t="s">
        <v>236</v>
      </c>
      <c r="K20" s="56"/>
      <c r="L20" s="56" t="s">
        <v>237</v>
      </c>
      <c r="M20" s="56" t="s">
        <v>238</v>
      </c>
      <c r="N20" s="56" t="s">
        <v>239</v>
      </c>
    </row>
    <row r="21" spans="1:14" x14ac:dyDescent="0.25">
      <c r="A21" s="65" t="s">
        <v>83</v>
      </c>
      <c r="B21" s="56" t="s">
        <v>230</v>
      </c>
    </row>
    <row r="22" spans="1:14" x14ac:dyDescent="0.25">
      <c r="A22" s="65" t="s">
        <v>69</v>
      </c>
      <c r="B22" s="56" t="s">
        <v>231</v>
      </c>
      <c r="H22" s="87" t="s">
        <v>240</v>
      </c>
      <c r="I22" s="87"/>
      <c r="J22" s="87"/>
      <c r="K22" s="87"/>
      <c r="L22" s="87"/>
    </row>
    <row r="23" spans="1:14" x14ac:dyDescent="0.25">
      <c r="A23" s="65" t="s">
        <v>71</v>
      </c>
      <c r="B23" s="56" t="s">
        <v>232</v>
      </c>
      <c r="H23" s="56" t="s">
        <v>241</v>
      </c>
      <c r="I23" s="56" t="s">
        <v>242</v>
      </c>
      <c r="J23" s="56" t="s">
        <v>72</v>
      </c>
      <c r="K23" s="56"/>
      <c r="L23" s="56" t="s">
        <v>73</v>
      </c>
    </row>
    <row r="24" spans="1:14" x14ac:dyDescent="0.25">
      <c r="A24" s="65" t="s">
        <v>73</v>
      </c>
      <c r="B24" s="56" t="s">
        <v>233</v>
      </c>
      <c r="H24" s="56" t="s">
        <v>202</v>
      </c>
      <c r="I24" s="56" t="s">
        <v>259</v>
      </c>
      <c r="J24" s="56" t="s">
        <v>260</v>
      </c>
      <c r="K24" s="56"/>
      <c r="L24" s="56" t="s">
        <v>243</v>
      </c>
    </row>
    <row r="27" spans="1:14" x14ac:dyDescent="0.25">
      <c r="E27" s="56" t="s">
        <v>259</v>
      </c>
      <c r="F27" s="56" t="s">
        <v>260</v>
      </c>
      <c r="G27" s="56"/>
      <c r="H27" s="56" t="s">
        <v>243</v>
      </c>
    </row>
    <row r="28" spans="1:14" x14ac:dyDescent="0.25">
      <c r="D28" s="56" t="s">
        <v>201</v>
      </c>
    </row>
    <row r="29" spans="1:14" x14ac:dyDescent="0.25">
      <c r="D29" s="56" t="s">
        <v>230</v>
      </c>
    </row>
    <row r="30" spans="1:14" x14ac:dyDescent="0.25">
      <c r="D30" s="56" t="s">
        <v>231</v>
      </c>
    </row>
    <row r="31" spans="1:14" x14ac:dyDescent="0.25">
      <c r="D31" s="56" t="s">
        <v>232</v>
      </c>
    </row>
    <row r="32" spans="1:14" x14ac:dyDescent="0.25">
      <c r="D32" s="56" t="s">
        <v>233</v>
      </c>
    </row>
  </sheetData>
  <autoFilter ref="A1:N17">
    <filterColumn colId="12">
      <filters>
        <filter val="1"/>
        <filter val="4"/>
      </filters>
    </filterColumn>
  </autoFilter>
  <mergeCells count="2">
    <mergeCell ref="A19:B19"/>
    <mergeCell ref="H22:L22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F5" sqref="F5:L20"/>
    </sheetView>
  </sheetViews>
  <sheetFormatPr defaultRowHeight="15" outlineLevelRow="1" x14ac:dyDescent="0.25"/>
  <cols>
    <col min="1" max="1" width="9.140625" style="62"/>
    <col min="3" max="3" width="9.140625" style="54"/>
    <col min="8" max="8" width="10.7109375" style="53" bestFit="1" customWidth="1"/>
    <col min="9" max="9" width="10.5703125" style="53" bestFit="1" customWidth="1"/>
    <col min="10" max="10" width="12.85546875" style="61" bestFit="1" customWidth="1"/>
    <col min="11" max="11" width="12" customWidth="1"/>
    <col min="12" max="12" width="8.42578125" customWidth="1"/>
    <col min="13" max="13" width="10.140625" style="68" bestFit="1" customWidth="1"/>
  </cols>
  <sheetData>
    <row r="1" spans="1:13" x14ac:dyDescent="0.25">
      <c r="A1" s="65" t="s">
        <v>143</v>
      </c>
      <c r="B1" s="56"/>
      <c r="C1" s="63"/>
      <c r="D1" s="56"/>
      <c r="E1" s="56"/>
      <c r="F1" s="56"/>
      <c r="G1" s="56"/>
      <c r="H1" s="57"/>
      <c r="I1" s="57"/>
      <c r="J1" s="64"/>
      <c r="K1" s="56"/>
      <c r="L1" s="56"/>
      <c r="M1" s="69"/>
    </row>
    <row r="2" spans="1:13" ht="45" x14ac:dyDescent="0.25">
      <c r="A2" s="65"/>
      <c r="B2" s="56"/>
      <c r="C2" s="63"/>
      <c r="D2" s="56"/>
      <c r="E2" s="56"/>
      <c r="F2" s="56"/>
      <c r="G2" s="56"/>
      <c r="H2" s="57"/>
      <c r="I2" s="57"/>
      <c r="J2" s="64" t="s">
        <v>150</v>
      </c>
      <c r="K2" s="56"/>
      <c r="L2" s="56"/>
      <c r="M2" s="69"/>
    </row>
    <row r="3" spans="1:13" x14ac:dyDescent="0.25">
      <c r="A3" s="65"/>
      <c r="B3" s="56"/>
      <c r="C3" s="63"/>
      <c r="D3" s="56"/>
      <c r="E3" s="56"/>
      <c r="F3" s="56"/>
      <c r="G3" s="56"/>
      <c r="H3" s="57"/>
      <c r="I3" s="57"/>
      <c r="J3" s="64" t="s">
        <v>151</v>
      </c>
      <c r="K3" s="56">
        <v>150</v>
      </c>
      <c r="L3" s="56"/>
      <c r="M3" s="69"/>
    </row>
    <row r="4" spans="1:13" x14ac:dyDescent="0.25">
      <c r="A4" s="65"/>
      <c r="B4" s="56"/>
      <c r="C4" s="63"/>
      <c r="D4" s="56"/>
      <c r="E4" s="56"/>
      <c r="F4" s="56"/>
      <c r="G4" s="56"/>
      <c r="H4" s="57"/>
      <c r="I4" s="57"/>
      <c r="J4" s="64" t="s">
        <v>152</v>
      </c>
      <c r="K4" s="56">
        <v>170</v>
      </c>
      <c r="L4" s="56"/>
      <c r="M4" s="69"/>
    </row>
    <row r="5" spans="1:13" x14ac:dyDescent="0.25">
      <c r="A5" s="65" t="s">
        <v>144</v>
      </c>
      <c r="B5" s="56" t="s">
        <v>145</v>
      </c>
      <c r="C5" s="63" t="s">
        <v>146</v>
      </c>
      <c r="D5" s="56" t="s">
        <v>147</v>
      </c>
      <c r="E5" s="56"/>
      <c r="F5" s="56"/>
      <c r="G5" s="56" t="s">
        <v>197</v>
      </c>
      <c r="H5" s="57" t="s">
        <v>148</v>
      </c>
      <c r="I5" s="57" t="s">
        <v>149</v>
      </c>
      <c r="J5" s="64" t="s">
        <v>153</v>
      </c>
      <c r="K5" s="56" t="s">
        <v>154</v>
      </c>
      <c r="L5" s="56" t="s">
        <v>155</v>
      </c>
      <c r="M5" s="69"/>
    </row>
    <row r="6" spans="1:13" outlineLevel="1" x14ac:dyDescent="0.25">
      <c r="A6" s="65" t="s">
        <v>163</v>
      </c>
      <c r="B6" s="56" t="s">
        <v>178</v>
      </c>
      <c r="C6" s="63">
        <v>3.1</v>
      </c>
      <c r="D6" s="56" t="s">
        <v>187</v>
      </c>
      <c r="E6" s="56"/>
      <c r="F6" s="56"/>
      <c r="G6" s="56" t="s">
        <v>190</v>
      </c>
      <c r="H6" s="57">
        <v>40324</v>
      </c>
      <c r="I6" s="57">
        <v>40336</v>
      </c>
      <c r="J6" s="64">
        <f>VLOOKUP(D6,$A$28:$D$32,IF(G6="HNI",2,IF(G6="HUE",3,4)),0)</f>
        <v>150</v>
      </c>
      <c r="K6" s="56">
        <f>IF(J6&gt;170,170,IF(J6&lt;150,150,IF(AND(J6&lt;=170,J6&gt;=150),J6)))</f>
        <v>150</v>
      </c>
      <c r="L6" s="56">
        <f>I6-H6</f>
        <v>12</v>
      </c>
      <c r="M6" s="69">
        <f>K6*L6*C6</f>
        <v>5580</v>
      </c>
    </row>
    <row r="7" spans="1:13" outlineLevel="1" x14ac:dyDescent="0.25">
      <c r="A7" s="65" t="s">
        <v>165</v>
      </c>
      <c r="B7" s="56" t="s">
        <v>180</v>
      </c>
      <c r="C7" s="63">
        <v>2.5</v>
      </c>
      <c r="D7" s="56" t="s">
        <v>187</v>
      </c>
      <c r="E7" s="56"/>
      <c r="F7" s="56"/>
      <c r="G7" s="56" t="s">
        <v>190</v>
      </c>
      <c r="H7" s="57">
        <v>40402</v>
      </c>
      <c r="I7" s="57">
        <v>40413</v>
      </c>
      <c r="J7" s="64">
        <f>VLOOKUP(D7,$A$28:$D$32,IF(G7="HNI",2,IF(G7="HUE",3,4)),0)</f>
        <v>150</v>
      </c>
      <c r="K7" s="56">
        <f>IF(J7&gt;170,170,IF(J7&lt;150,150,IF(AND(J7&lt;=170,J7&gt;=150),J7)))</f>
        <v>150</v>
      </c>
      <c r="L7" s="56">
        <f>I7-H7</f>
        <v>11</v>
      </c>
      <c r="M7" s="69">
        <f>K7*L7*C7</f>
        <v>4125</v>
      </c>
    </row>
    <row r="8" spans="1:13" outlineLevel="1" x14ac:dyDescent="0.25">
      <c r="A8" s="65" t="s">
        <v>156</v>
      </c>
      <c r="B8" s="56" t="s">
        <v>171</v>
      </c>
      <c r="C8" s="63">
        <v>2.88</v>
      </c>
      <c r="D8" s="56" t="s">
        <v>186</v>
      </c>
      <c r="E8" s="56"/>
      <c r="F8" s="56"/>
      <c r="G8" s="56" t="s">
        <v>190</v>
      </c>
      <c r="H8" s="57">
        <v>40308</v>
      </c>
      <c r="I8" s="57">
        <v>40352</v>
      </c>
      <c r="J8" s="64">
        <f>VLOOKUP(D8,$A$28:$D$32,IF(G8="HNI",2,IF(G8="HUE",3,4)),0)</f>
        <v>160</v>
      </c>
      <c r="K8" s="56">
        <f>IF(J8&gt;170,170,IF(J8&lt;150,150,IF(AND(J8&lt;=170,J8&gt;=150),J8)))</f>
        <v>160</v>
      </c>
      <c r="L8" s="56">
        <f>I8-H8</f>
        <v>44</v>
      </c>
      <c r="M8" s="69">
        <f>K8*L8*C8</f>
        <v>20275.2</v>
      </c>
    </row>
    <row r="9" spans="1:13" outlineLevel="1" x14ac:dyDescent="0.25">
      <c r="A9" s="65" t="s">
        <v>160</v>
      </c>
      <c r="B9" s="56" t="s">
        <v>175</v>
      </c>
      <c r="C9" s="63">
        <v>2.5</v>
      </c>
      <c r="D9" s="56" t="s">
        <v>186</v>
      </c>
      <c r="E9" s="56"/>
      <c r="F9" s="56"/>
      <c r="G9" s="56" t="s">
        <v>190</v>
      </c>
      <c r="H9" s="57">
        <v>40308</v>
      </c>
      <c r="I9" s="57">
        <v>40352</v>
      </c>
      <c r="J9" s="64">
        <f>VLOOKUP(D9,$A$28:$D$32,IF(G9="HNI",2,IF(G9="HUE",3,4)),0)</f>
        <v>160</v>
      </c>
      <c r="K9" s="56">
        <f>IF(J9&gt;170,170,IF(J9&lt;150,150,IF(AND(J9&lt;=170,J9&gt;=150),J9)))</f>
        <v>160</v>
      </c>
      <c r="L9" s="56">
        <f>I9-H9</f>
        <v>44</v>
      </c>
      <c r="M9" s="69">
        <f>K9*L9*C9</f>
        <v>17600</v>
      </c>
    </row>
    <row r="10" spans="1:13" outlineLevel="1" x14ac:dyDescent="0.25">
      <c r="A10" s="65" t="s">
        <v>168</v>
      </c>
      <c r="B10" s="56" t="s">
        <v>183</v>
      </c>
      <c r="C10" s="63">
        <v>2.5</v>
      </c>
      <c r="D10" s="56" t="s">
        <v>186</v>
      </c>
      <c r="E10" s="56"/>
      <c r="F10" s="56"/>
      <c r="G10" s="56" t="s">
        <v>190</v>
      </c>
      <c r="H10" s="57">
        <v>40506</v>
      </c>
      <c r="I10" s="57">
        <v>40512</v>
      </c>
      <c r="J10" s="64">
        <f>VLOOKUP(D10,$A$28:$D$32,IF(G10="HNI",2,IF(G10="HUE",3,4)),0)</f>
        <v>160</v>
      </c>
      <c r="K10" s="56">
        <f>IF(J10&gt;170,170,IF(J10&lt;150,150,IF(AND(J10&lt;=170,J10&gt;=150),J10)))</f>
        <v>160</v>
      </c>
      <c r="L10" s="56">
        <f>I10-H10</f>
        <v>6</v>
      </c>
      <c r="M10" s="69">
        <f>K10*L10*C10</f>
        <v>2400</v>
      </c>
    </row>
    <row r="11" spans="1:13" x14ac:dyDescent="0.25">
      <c r="A11" s="65"/>
      <c r="B11" s="56"/>
      <c r="C11" s="63"/>
      <c r="D11" s="56"/>
      <c r="E11" s="56"/>
      <c r="F11" s="72" t="s">
        <v>195</v>
      </c>
      <c r="G11" s="56">
        <f>SUBTOTAL(9,G6:G10)</f>
        <v>0</v>
      </c>
      <c r="H11" s="57"/>
      <c r="I11" s="57"/>
      <c r="J11" s="64"/>
      <c r="K11" s="56"/>
      <c r="L11" s="56"/>
      <c r="M11" s="69">
        <f>SUBTOTAL(9,M6:M10)</f>
        <v>49980.2</v>
      </c>
    </row>
    <row r="12" spans="1:13" outlineLevel="1" x14ac:dyDescent="0.25">
      <c r="A12" s="65" t="s">
        <v>157</v>
      </c>
      <c r="B12" s="56" t="s">
        <v>172</v>
      </c>
      <c r="C12" s="63">
        <v>3.1</v>
      </c>
      <c r="D12" s="56" t="s">
        <v>187</v>
      </c>
      <c r="E12" s="56"/>
      <c r="F12" s="56"/>
      <c r="G12" s="56" t="s">
        <v>191</v>
      </c>
      <c r="H12" s="57">
        <v>40382</v>
      </c>
      <c r="I12" s="57">
        <v>40401</v>
      </c>
      <c r="J12" s="64">
        <f t="shared" ref="J12:J17" si="0">VLOOKUP(D12,$A$28:$D$32,IF(G12="HNI",2,IF(G12="HUE",3,4)),0)</f>
        <v>145</v>
      </c>
      <c r="K12" s="56">
        <f t="shared" ref="K12:K17" si="1">IF(J12&gt;170,170,IF(J12&lt;150,150,IF(AND(J12&lt;=170,J12&gt;=150),J12)))</f>
        <v>150</v>
      </c>
      <c r="L12" s="56">
        <f t="shared" ref="L12:L17" si="2">I12-H12</f>
        <v>19</v>
      </c>
      <c r="M12" s="69">
        <f t="shared" ref="M12:M17" si="3">K12*L12*C12</f>
        <v>8835</v>
      </c>
    </row>
    <row r="13" spans="1:13" outlineLevel="1" x14ac:dyDescent="0.25">
      <c r="A13" s="65" t="s">
        <v>158</v>
      </c>
      <c r="B13" s="56" t="s">
        <v>173</v>
      </c>
      <c r="C13" s="63">
        <v>2.5</v>
      </c>
      <c r="D13" s="56" t="s">
        <v>187</v>
      </c>
      <c r="E13" s="56"/>
      <c r="F13" s="56"/>
      <c r="G13" s="56" t="s">
        <v>191</v>
      </c>
      <c r="H13" s="57">
        <v>40341</v>
      </c>
      <c r="I13" s="57">
        <v>40347</v>
      </c>
      <c r="J13" s="64">
        <f t="shared" si="0"/>
        <v>145</v>
      </c>
      <c r="K13" s="56">
        <f t="shared" si="1"/>
        <v>150</v>
      </c>
      <c r="L13" s="56">
        <f t="shared" si="2"/>
        <v>6</v>
      </c>
      <c r="M13" s="69">
        <f t="shared" si="3"/>
        <v>2250</v>
      </c>
    </row>
    <row r="14" spans="1:13" outlineLevel="1" x14ac:dyDescent="0.25">
      <c r="A14" s="65" t="s">
        <v>164</v>
      </c>
      <c r="B14" s="56" t="s">
        <v>179</v>
      </c>
      <c r="C14" s="63">
        <v>4.5</v>
      </c>
      <c r="D14" s="56" t="s">
        <v>187</v>
      </c>
      <c r="E14" s="56"/>
      <c r="F14" s="56"/>
      <c r="G14" s="56" t="s">
        <v>191</v>
      </c>
      <c r="H14" s="57">
        <v>40409</v>
      </c>
      <c r="I14" s="57">
        <v>40415</v>
      </c>
      <c r="J14" s="64">
        <f t="shared" si="0"/>
        <v>145</v>
      </c>
      <c r="K14" s="56">
        <f t="shared" si="1"/>
        <v>150</v>
      </c>
      <c r="L14" s="56">
        <f t="shared" si="2"/>
        <v>6</v>
      </c>
      <c r="M14" s="69">
        <f t="shared" si="3"/>
        <v>4050</v>
      </c>
    </row>
    <row r="15" spans="1:13" outlineLevel="1" x14ac:dyDescent="0.25">
      <c r="A15" s="65" t="s">
        <v>167</v>
      </c>
      <c r="B15" s="56" t="s">
        <v>182</v>
      </c>
      <c r="C15" s="63">
        <v>3.1</v>
      </c>
      <c r="D15" s="56" t="s">
        <v>187</v>
      </c>
      <c r="E15" s="56"/>
      <c r="F15" s="56"/>
      <c r="G15" s="56" t="s">
        <v>191</v>
      </c>
      <c r="H15" s="57">
        <v>40434</v>
      </c>
      <c r="I15" s="57">
        <v>40441</v>
      </c>
      <c r="J15" s="64">
        <f t="shared" si="0"/>
        <v>145</v>
      </c>
      <c r="K15" s="56">
        <f t="shared" si="1"/>
        <v>150</v>
      </c>
      <c r="L15" s="56">
        <f t="shared" si="2"/>
        <v>7</v>
      </c>
      <c r="M15" s="69">
        <f t="shared" si="3"/>
        <v>3255</v>
      </c>
    </row>
    <row r="16" spans="1:13" outlineLevel="1" x14ac:dyDescent="0.25">
      <c r="A16" s="65" t="s">
        <v>162</v>
      </c>
      <c r="B16" s="56" t="s">
        <v>177</v>
      </c>
      <c r="C16" s="63">
        <v>2.5</v>
      </c>
      <c r="D16" s="56" t="s">
        <v>186</v>
      </c>
      <c r="E16" s="56"/>
      <c r="F16" s="56"/>
      <c r="G16" s="56" t="s">
        <v>191</v>
      </c>
      <c r="H16" s="57">
        <v>40341</v>
      </c>
      <c r="I16" s="57">
        <v>40409</v>
      </c>
      <c r="J16" s="64">
        <f t="shared" si="0"/>
        <v>150</v>
      </c>
      <c r="K16" s="56">
        <f t="shared" si="1"/>
        <v>150</v>
      </c>
      <c r="L16" s="56">
        <f t="shared" si="2"/>
        <v>68</v>
      </c>
      <c r="M16" s="69">
        <f t="shared" si="3"/>
        <v>25500</v>
      </c>
    </row>
    <row r="17" spans="1:16" outlineLevel="1" x14ac:dyDescent="0.25">
      <c r="A17" s="65" t="s">
        <v>169</v>
      </c>
      <c r="B17" s="56" t="s">
        <v>184</v>
      </c>
      <c r="C17" s="63">
        <v>3.1</v>
      </c>
      <c r="D17" s="56" t="s">
        <v>186</v>
      </c>
      <c r="E17" s="56"/>
      <c r="F17" s="56"/>
      <c r="G17" s="56" t="s">
        <v>191</v>
      </c>
      <c r="H17" s="57">
        <v>40471</v>
      </c>
      <c r="I17" s="57">
        <v>40476</v>
      </c>
      <c r="J17" s="64">
        <f t="shared" si="0"/>
        <v>150</v>
      </c>
      <c r="K17" s="56">
        <f t="shared" si="1"/>
        <v>150</v>
      </c>
      <c r="L17" s="56">
        <f t="shared" si="2"/>
        <v>5</v>
      </c>
      <c r="M17" s="69">
        <f t="shared" si="3"/>
        <v>2325</v>
      </c>
    </row>
    <row r="18" spans="1:16" x14ac:dyDescent="0.25">
      <c r="A18" s="65"/>
      <c r="B18" s="56"/>
      <c r="C18" s="63"/>
      <c r="D18" s="56"/>
      <c r="E18" s="56"/>
      <c r="F18" s="72" t="s">
        <v>196</v>
      </c>
      <c r="G18" s="56">
        <f>SUBTOTAL(9,G12:G17)</f>
        <v>0</v>
      </c>
      <c r="H18" s="57"/>
      <c r="I18" s="57"/>
      <c r="J18" s="64"/>
      <c r="K18" s="56"/>
      <c r="L18" s="56"/>
      <c r="M18" s="69">
        <f>SUBTOTAL(9,M12:M17)</f>
        <v>46215</v>
      </c>
    </row>
    <row r="19" spans="1:16" x14ac:dyDescent="0.25">
      <c r="A19" s="65" t="s">
        <v>166</v>
      </c>
      <c r="B19" s="56" t="s">
        <v>181</v>
      </c>
      <c r="C19" s="63">
        <v>3.1</v>
      </c>
      <c r="D19" s="56" t="s">
        <v>13</v>
      </c>
      <c r="E19" s="56"/>
      <c r="F19" s="56"/>
      <c r="G19" s="56" t="s">
        <v>192</v>
      </c>
      <c r="H19" s="57">
        <v>40444</v>
      </c>
      <c r="I19" s="57">
        <v>40464</v>
      </c>
      <c r="J19" s="64">
        <f>VLOOKUP(D19,$A$28:$D$32,IF(G19="HNI",2,IF(G19="HUE",3,4)),0)</f>
        <v>180</v>
      </c>
      <c r="K19" s="56">
        <f>IF(J19&gt;170,170,IF(J19&lt;150,150,IF(AND(J19&lt;=170,J19&gt;=150),J19)))</f>
        <v>170</v>
      </c>
      <c r="L19" s="56">
        <f>I19-H19</f>
        <v>20</v>
      </c>
      <c r="M19" s="69">
        <f>K19*L19*C19</f>
        <v>10540</v>
      </c>
    </row>
    <row r="20" spans="1:16" x14ac:dyDescent="0.25">
      <c r="A20" s="65" t="s">
        <v>170</v>
      </c>
      <c r="B20" s="56" t="s">
        <v>185</v>
      </c>
      <c r="C20" s="63">
        <v>2.8</v>
      </c>
      <c r="D20" s="56" t="s">
        <v>186</v>
      </c>
      <c r="E20" s="56"/>
      <c r="F20" s="56"/>
      <c r="G20" s="56" t="s">
        <v>192</v>
      </c>
      <c r="H20" s="57">
        <v>40510</v>
      </c>
      <c r="I20" s="57">
        <v>40542</v>
      </c>
      <c r="J20" s="64">
        <f>VLOOKUP(D20,$A$28:$D$32,IF(G20="HNI",2,IF(G20="HUE",3,4)),0)</f>
        <v>175</v>
      </c>
      <c r="K20" s="56">
        <f>IF(J20&gt;170,170,IF(J20&lt;150,150,IF(AND(J20&lt;=170,J20&gt;=150),J20)))</f>
        <v>170</v>
      </c>
      <c r="L20" s="56">
        <f>I20-H20</f>
        <v>32</v>
      </c>
      <c r="M20" s="69">
        <f>K20*L20*C20</f>
        <v>15231.999999999998</v>
      </c>
    </row>
    <row r="21" spans="1:16" x14ac:dyDescent="0.25">
      <c r="A21" s="65" t="s">
        <v>159</v>
      </c>
      <c r="B21" s="56" t="s">
        <v>174</v>
      </c>
      <c r="C21" s="63">
        <v>4.5</v>
      </c>
      <c r="D21" s="56" t="s">
        <v>188</v>
      </c>
      <c r="E21" s="56"/>
      <c r="F21" s="56"/>
      <c r="G21" s="56" t="s">
        <v>192</v>
      </c>
      <c r="H21" s="57">
        <v>40324</v>
      </c>
      <c r="I21" s="57">
        <v>40336</v>
      </c>
      <c r="J21" s="64">
        <f>VLOOKUP(D21,$A$28:$D$32,IF(G21="HNI",2,IF(G21="HUE",3,4)),0)</f>
        <v>170</v>
      </c>
      <c r="K21" s="56">
        <f>IF(J21&gt;170,170,IF(J21&lt;150,150,IF(AND(J21&lt;=170,J21&gt;=150),J21)))</f>
        <v>170</v>
      </c>
      <c r="L21" s="56">
        <f>I21-H21</f>
        <v>12</v>
      </c>
      <c r="M21" s="69">
        <f>K21*L21*C21</f>
        <v>9180</v>
      </c>
    </row>
    <row r="22" spans="1:16" x14ac:dyDescent="0.25">
      <c r="A22" s="65" t="s">
        <v>161</v>
      </c>
      <c r="B22" s="56" t="s">
        <v>176</v>
      </c>
      <c r="C22" s="63">
        <v>3.5</v>
      </c>
      <c r="D22" s="56" t="s">
        <v>188</v>
      </c>
      <c r="E22" s="56"/>
      <c r="F22" s="56"/>
      <c r="G22" s="56" t="s">
        <v>192</v>
      </c>
      <c r="H22" s="57">
        <v>40382</v>
      </c>
      <c r="I22" s="57">
        <v>40409</v>
      </c>
      <c r="J22" s="64">
        <f>VLOOKUP(D22,$A$28:$D$32,IF(G22="HNI",2,IF(G22="HUE",3,4)),0)</f>
        <v>170</v>
      </c>
      <c r="K22" s="56">
        <f>IF(J22&gt;170,170,IF(J22&lt;150,150,IF(AND(J22&lt;=170,J22&gt;=150),J22)))</f>
        <v>170</v>
      </c>
      <c r="L22" s="56">
        <f>I22-H22</f>
        <v>27</v>
      </c>
      <c r="M22" s="69">
        <f>K22*L22*C22</f>
        <v>16065</v>
      </c>
    </row>
    <row r="23" spans="1:16" x14ac:dyDescent="0.25">
      <c r="G23" s="67"/>
      <c r="H23" s="70"/>
      <c r="I23" s="70"/>
      <c r="N23" s="77"/>
      <c r="O23" s="78"/>
      <c r="P23" s="79"/>
    </row>
    <row r="24" spans="1:16" x14ac:dyDescent="0.25">
      <c r="G24" s="67"/>
      <c r="H24" s="70"/>
      <c r="I24" s="70"/>
      <c r="N24" s="80"/>
      <c r="O24" s="81"/>
      <c r="P24" s="82"/>
    </row>
    <row r="25" spans="1:16" x14ac:dyDescent="0.25">
      <c r="G25" s="67"/>
      <c r="N25" s="80"/>
      <c r="O25" s="81"/>
      <c r="P25" s="82"/>
    </row>
    <row r="26" spans="1:16" x14ac:dyDescent="0.25">
      <c r="N26" s="80"/>
      <c r="O26" s="81"/>
      <c r="P26" s="82"/>
    </row>
    <row r="27" spans="1:16" x14ac:dyDescent="0.25">
      <c r="A27" s="73" t="s">
        <v>189</v>
      </c>
      <c r="B27" s="74"/>
      <c r="C27" s="75"/>
      <c r="D27" s="74"/>
      <c r="E27" s="67"/>
      <c r="F27" s="67"/>
      <c r="I27" s="64"/>
      <c r="J27" s="56" t="s">
        <v>190</v>
      </c>
      <c r="K27" s="56" t="s">
        <v>191</v>
      </c>
      <c r="L27" s="69" t="s">
        <v>193</v>
      </c>
      <c r="N27" s="80"/>
      <c r="O27" s="81"/>
      <c r="P27" s="82"/>
    </row>
    <row r="28" spans="1:16" x14ac:dyDescent="0.25">
      <c r="A28" s="65"/>
      <c r="B28" s="56" t="s">
        <v>190</v>
      </c>
      <c r="C28" s="63" t="s">
        <v>191</v>
      </c>
      <c r="D28" s="56" t="s">
        <v>192</v>
      </c>
      <c r="E28" s="67"/>
      <c r="F28" s="67"/>
      <c r="G28" s="67"/>
      <c r="I28" s="71" t="s">
        <v>187</v>
      </c>
      <c r="J28" s="67">
        <f t="shared" ref="J28:L31" si="4">SUMIFS($M$6:$M$22,$D$6:$D$22,$I$28:$I$31,$G$6:$G$22,$J$27:$L$27)</f>
        <v>9705</v>
      </c>
      <c r="K28" s="67">
        <f t="shared" si="4"/>
        <v>18390</v>
      </c>
      <c r="L28" s="67">
        <f t="shared" si="4"/>
        <v>0</v>
      </c>
      <c r="N28" s="80"/>
      <c r="O28" s="81"/>
      <c r="P28" s="82"/>
    </row>
    <row r="29" spans="1:16" x14ac:dyDescent="0.25">
      <c r="A29" s="65" t="s">
        <v>187</v>
      </c>
      <c r="B29" s="56">
        <v>150</v>
      </c>
      <c r="C29" s="66">
        <v>145</v>
      </c>
      <c r="D29" s="56">
        <v>160</v>
      </c>
      <c r="E29" s="67"/>
      <c r="F29" s="67"/>
      <c r="I29" s="71" t="s">
        <v>186</v>
      </c>
      <c r="J29" s="67">
        <f t="shared" si="4"/>
        <v>40275.199999999997</v>
      </c>
      <c r="K29" s="67">
        <f t="shared" si="4"/>
        <v>27825</v>
      </c>
      <c r="L29" s="67">
        <f t="shared" si="4"/>
        <v>0</v>
      </c>
      <c r="N29" s="80"/>
      <c r="O29" s="81"/>
      <c r="P29" s="82"/>
    </row>
    <row r="30" spans="1:16" x14ac:dyDescent="0.25">
      <c r="A30" s="65" t="s">
        <v>13</v>
      </c>
      <c r="B30" s="56">
        <v>150</v>
      </c>
      <c r="C30" s="66">
        <v>160</v>
      </c>
      <c r="D30" s="56">
        <v>180</v>
      </c>
      <c r="E30" s="67"/>
      <c r="F30" s="67"/>
      <c r="I30" s="76" t="s">
        <v>188</v>
      </c>
      <c r="J30" s="67">
        <f t="shared" si="4"/>
        <v>0</v>
      </c>
      <c r="K30" s="67">
        <f t="shared" si="4"/>
        <v>0</v>
      </c>
      <c r="L30" s="67">
        <f t="shared" si="4"/>
        <v>0</v>
      </c>
      <c r="N30" s="80"/>
      <c r="O30" s="81"/>
      <c r="P30" s="82"/>
    </row>
    <row r="31" spans="1:16" x14ac:dyDescent="0.25">
      <c r="A31" s="65" t="s">
        <v>186</v>
      </c>
      <c r="B31" s="56">
        <v>160</v>
      </c>
      <c r="C31" s="66">
        <v>150</v>
      </c>
      <c r="D31" s="56">
        <v>175</v>
      </c>
      <c r="E31" s="67"/>
      <c r="F31" s="67"/>
      <c r="I31" s="64" t="s">
        <v>194</v>
      </c>
      <c r="J31" s="67">
        <f t="shared" si="4"/>
        <v>0</v>
      </c>
      <c r="K31" s="67">
        <f t="shared" si="4"/>
        <v>0</v>
      </c>
      <c r="L31" s="67">
        <f t="shared" si="4"/>
        <v>0</v>
      </c>
      <c r="N31" s="80"/>
      <c r="O31" s="81"/>
      <c r="P31" s="82"/>
    </row>
    <row r="32" spans="1:16" x14ac:dyDescent="0.25">
      <c r="A32" s="65" t="s">
        <v>188</v>
      </c>
      <c r="B32" s="56">
        <v>155</v>
      </c>
      <c r="C32" s="66">
        <v>165</v>
      </c>
      <c r="D32" s="56">
        <v>170</v>
      </c>
      <c r="E32" s="67"/>
      <c r="F32" s="67"/>
      <c r="N32" s="80"/>
      <c r="O32" s="81"/>
      <c r="P32" s="82"/>
    </row>
    <row r="33" spans="14:16" x14ac:dyDescent="0.25">
      <c r="N33" s="80"/>
      <c r="O33" s="81"/>
      <c r="P33" s="82"/>
    </row>
    <row r="34" spans="14:16" x14ac:dyDescent="0.25">
      <c r="N34" s="80"/>
      <c r="O34" s="81"/>
      <c r="P34" s="82"/>
    </row>
    <row r="35" spans="14:16" x14ac:dyDescent="0.25">
      <c r="N35" s="80"/>
      <c r="O35" s="81"/>
      <c r="P35" s="82"/>
    </row>
    <row r="36" spans="14:16" x14ac:dyDescent="0.25">
      <c r="N36" s="80"/>
      <c r="O36" s="81"/>
      <c r="P36" s="82"/>
    </row>
    <row r="37" spans="14:16" x14ac:dyDescent="0.25">
      <c r="N37" s="80"/>
      <c r="O37" s="81"/>
      <c r="P37" s="82"/>
    </row>
    <row r="38" spans="14:16" x14ac:dyDescent="0.25">
      <c r="N38" s="80"/>
      <c r="O38" s="81"/>
      <c r="P38" s="82"/>
    </row>
    <row r="39" spans="14:16" x14ac:dyDescent="0.25">
      <c r="N39" s="80"/>
      <c r="O39" s="81"/>
      <c r="P39" s="82"/>
    </row>
    <row r="40" spans="14:16" x14ac:dyDescent="0.25">
      <c r="N40" s="83"/>
      <c r="O40" s="84"/>
      <c r="P40" s="85"/>
    </row>
  </sheetData>
  <sortState ref="A6:M20">
    <sortCondition ref="G6:G20"/>
    <sortCondition ref="D6:D20"/>
  </sortState>
  <dataConsolidate/>
  <pageMargins left="0.70866141732283472" right="0.70866141732283472" top="0.74803149606299213" bottom="0.74803149606299213" header="0.31496062992125984" footer="0.31496062992125984"/>
  <pageSetup paperSize="9" orientation="landscape" r:id="rId2"/>
  <headerFooter>
    <oddHeader>&amp;LBÀI TẬP EXCEL&amp;RTRUNG TÂM CNTT</oddHeader>
    <oddFooter>&amp;LTRƯỜNG ĐHCN&amp;RTRANG 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8"/>
  <sheetViews>
    <sheetView topLeftCell="F1" zoomScale="70" zoomScaleNormal="70" workbookViewId="0">
      <selection activeCell="N21" sqref="N21"/>
    </sheetView>
  </sheetViews>
  <sheetFormatPr defaultRowHeight="15" x14ac:dyDescent="0.25"/>
  <cols>
    <col min="1" max="2" width="9.140625" style="1"/>
    <col min="3" max="3" width="18.42578125" style="1" customWidth="1"/>
    <col min="4" max="4" width="15" style="1" customWidth="1"/>
    <col min="5" max="5" width="15.140625" style="1" customWidth="1"/>
    <col min="6" max="6" width="11.85546875" style="1" customWidth="1"/>
    <col min="7" max="7" width="12.42578125" style="1" customWidth="1"/>
    <col min="8" max="8" width="18.28515625" style="1" customWidth="1"/>
    <col min="9" max="9" width="18" style="1" customWidth="1"/>
    <col min="10" max="10" width="20.5703125" style="1" customWidth="1"/>
    <col min="11" max="11" width="15.7109375" style="1" customWidth="1"/>
    <col min="12" max="12" width="16.7109375" style="1" customWidth="1"/>
    <col min="13" max="13" width="14.28515625" style="1" bestFit="1" customWidth="1"/>
    <col min="14" max="14" width="13.42578125" style="1" bestFit="1" customWidth="1"/>
    <col min="15" max="16" width="9.140625" style="1"/>
    <col min="17" max="17" width="16" style="1" bestFit="1" customWidth="1"/>
    <col min="18" max="19" width="9.140625" style="1"/>
    <col min="20" max="20" width="10.7109375" style="1" bestFit="1" customWidth="1"/>
    <col min="21" max="16384" width="9.140625" style="1"/>
  </cols>
  <sheetData>
    <row r="1" spans="1:24" ht="27.75" customHeight="1" x14ac:dyDescent="0.25">
      <c r="C1" s="88" t="s">
        <v>44</v>
      </c>
      <c r="D1" s="88"/>
      <c r="E1" s="88"/>
      <c r="F1" s="88"/>
      <c r="G1" s="88"/>
      <c r="H1" s="88"/>
      <c r="I1" s="88"/>
      <c r="J1" s="88"/>
      <c r="K1" s="88"/>
    </row>
    <row r="2" spans="1:24" ht="24.75" customHeight="1" x14ac:dyDescent="0.25">
      <c r="B2" s="4" t="s">
        <v>43</v>
      </c>
      <c r="C2" s="4" t="s">
        <v>42</v>
      </c>
      <c r="D2" s="4" t="s">
        <v>41</v>
      </c>
      <c r="E2" s="4" t="s">
        <v>0</v>
      </c>
      <c r="F2" s="4" t="s">
        <v>18</v>
      </c>
      <c r="G2" s="4" t="s">
        <v>17</v>
      </c>
      <c r="H2" s="4" t="s">
        <v>1</v>
      </c>
      <c r="J2" s="4" t="s">
        <v>39</v>
      </c>
      <c r="K2" s="7" t="s">
        <v>2</v>
      </c>
      <c r="L2" s="20" t="s">
        <v>38</v>
      </c>
      <c r="M2" s="4"/>
      <c r="N2" s="4" t="s">
        <v>0</v>
      </c>
      <c r="O2" s="4" t="s">
        <v>18</v>
      </c>
      <c r="P2" s="4" t="s">
        <v>17</v>
      </c>
      <c r="Q2" s="4" t="s">
        <v>40</v>
      </c>
      <c r="R2" s="4" t="s">
        <v>39</v>
      </c>
      <c r="S2" s="1" t="s">
        <v>45</v>
      </c>
      <c r="T2" s="1" t="s">
        <v>46</v>
      </c>
      <c r="U2" s="1" t="s">
        <v>47</v>
      </c>
      <c r="W2" s="20" t="s">
        <v>38</v>
      </c>
    </row>
    <row r="3" spans="1:24" ht="24.75" customHeight="1" x14ac:dyDescent="0.25">
      <c r="A3" s="1">
        <v>1</v>
      </c>
      <c r="B3" s="15" t="s">
        <v>29</v>
      </c>
      <c r="C3" s="17" t="s">
        <v>28</v>
      </c>
      <c r="D3" s="21" t="str">
        <f t="shared" ref="D3:D11" si="0">IF(RIGHT(B3,1)="N","NHẬP","XUẤT")</f>
        <v>NHẬP</v>
      </c>
      <c r="E3" s="22" t="str">
        <f t="shared" ref="E3:E11" si="1">VLOOKUP(LEFT(B3,2),$B$14:$E$17,2,)</f>
        <v>CƠ KHÍ</v>
      </c>
      <c r="F3" s="22">
        <f t="shared" ref="F3:F11" si="2">VLOOKUP(LEFT(B3,2),$B$14:$E$17,3,)</f>
        <v>9150</v>
      </c>
      <c r="G3" s="22">
        <f t="shared" ref="G3:G11" si="3">VLOOKUP(LEFT(B3,2),$B$14:$E$17,4,)</f>
        <v>950</v>
      </c>
      <c r="H3" s="16">
        <v>50</v>
      </c>
      <c r="I3" s="22">
        <f t="shared" ref="I3:I11" si="4">INT(H3/10)</f>
        <v>5</v>
      </c>
      <c r="J3" s="23">
        <f t="shared" ref="J3:J11" si="5">MOD(H3,10)</f>
        <v>0</v>
      </c>
      <c r="K3" s="22">
        <f t="shared" ref="K3:K11" si="6">(I3*F3+G3*J3)*IF(AND(D3="XUẤT",E3="ĐIỆN TỬ"),0.95,1)</f>
        <v>45750</v>
      </c>
      <c r="L3" s="24">
        <f t="shared" ref="L3:L11" si="7">K3*HLOOKUP(MID(B3,3,1)*1,$I$13:$K$14,2,0)</f>
        <v>27450</v>
      </c>
      <c r="M3" s="1" t="str">
        <f t="shared" ref="M3:M11" si="8">IF(RIGHT(B3)="X","XUẤT","NHẬP")</f>
        <v>NHẬP</v>
      </c>
      <c r="N3" s="1" t="str">
        <f>VLOOKUP(LEFT(B3,2),$B$14:$C$17,2,0)</f>
        <v>CƠ KHÍ</v>
      </c>
      <c r="O3" s="1">
        <f t="shared" ref="O3:O11" si="9">VLOOKUP(N3,$C$14:$D$17,2,0)</f>
        <v>9150</v>
      </c>
      <c r="P3" s="1">
        <f>VLOOKUP(N3,$C$14:$E$17,3,0)</f>
        <v>950</v>
      </c>
      <c r="Q3" s="1" t="str">
        <f>LEFT(H3,1)</f>
        <v>5</v>
      </c>
      <c r="R3" s="1">
        <f>H3-(Q3*10)</f>
        <v>0</v>
      </c>
      <c r="S3" s="1">
        <f>IF(AND(M3="xuất",N3="điện tử"),5%,0)*T3</f>
        <v>0</v>
      </c>
      <c r="T3" s="1">
        <f>(Q3*O3)+(R3*P3)</f>
        <v>45750</v>
      </c>
      <c r="U3" s="1">
        <f>T3-S3</f>
        <v>45750</v>
      </c>
      <c r="V3" s="1" t="str">
        <f>MID(B3,3,1)</f>
        <v>1</v>
      </c>
      <c r="W3" s="1">
        <f>HLOOKUP(VALUE(MID(B3,3,1)),$I$13:$K$14,2,0)</f>
        <v>0.6</v>
      </c>
      <c r="X3" s="1">
        <f>U4*W3</f>
        <v>13260</v>
      </c>
    </row>
    <row r="4" spans="1:24" ht="24.75" customHeight="1" x14ac:dyDescent="0.25">
      <c r="A4" s="1">
        <v>2</v>
      </c>
      <c r="B4" s="15" t="s">
        <v>23</v>
      </c>
      <c r="C4" s="17" t="s">
        <v>22</v>
      </c>
      <c r="D4" s="21" t="str">
        <f t="shared" si="0"/>
        <v>NHẬP</v>
      </c>
      <c r="E4" s="22" t="str">
        <f t="shared" si="1"/>
        <v>CƠ KHÍ</v>
      </c>
      <c r="F4" s="22">
        <f t="shared" si="2"/>
        <v>9150</v>
      </c>
      <c r="G4" s="22">
        <f t="shared" si="3"/>
        <v>950</v>
      </c>
      <c r="H4" s="16">
        <v>24</v>
      </c>
      <c r="I4" s="22">
        <f t="shared" si="4"/>
        <v>2</v>
      </c>
      <c r="J4" s="23">
        <f t="shared" si="5"/>
        <v>4</v>
      </c>
      <c r="K4" s="22">
        <f t="shared" si="6"/>
        <v>22100</v>
      </c>
      <c r="L4" s="24">
        <f t="shared" si="7"/>
        <v>11050</v>
      </c>
      <c r="M4" s="1" t="str">
        <f t="shared" si="8"/>
        <v>NHẬP</v>
      </c>
      <c r="N4" s="1" t="str">
        <f t="shared" ref="N4:N11" si="10">VLOOKUP(LEFT(B4,2),$B$14:$C$17,2,0)</f>
        <v>CƠ KHÍ</v>
      </c>
      <c r="O4" s="1">
        <f t="shared" si="9"/>
        <v>9150</v>
      </c>
      <c r="P4" s="1">
        <f t="shared" ref="P4:P11" si="11">VLOOKUP(N4,$C$14:$E$17,3,0)</f>
        <v>950</v>
      </c>
      <c r="Q4" s="1" t="str">
        <f t="shared" ref="Q4:Q11" si="12">LEFT(H4,1)</f>
        <v>2</v>
      </c>
      <c r="R4" s="1">
        <f t="shared" ref="R4:R11" si="13">H4-(Q4*10)</f>
        <v>4</v>
      </c>
      <c r="S4" s="1">
        <f t="shared" ref="S4:S11" si="14">IF(AND(M4="xuất",N4="điện tử"),5%,0)*T4</f>
        <v>0</v>
      </c>
      <c r="T4" s="1">
        <f t="shared" ref="T4:T11" si="15">(Q4*O4)+(R4*P4)</f>
        <v>22100</v>
      </c>
      <c r="U4" s="1">
        <f t="shared" ref="U4:U11" si="16">T4-S4</f>
        <v>22100</v>
      </c>
      <c r="V4" s="1" t="str">
        <f t="shared" ref="V4:V11" si="17">MID(B4,3,1)</f>
        <v>2</v>
      </c>
      <c r="W4" s="1">
        <f t="shared" ref="W4:W11" si="18">HLOOKUP(VALUE(MID(B4,3,1)),$I$13:$K$14,2,0)</f>
        <v>0.5</v>
      </c>
      <c r="X4" s="1">
        <f t="shared" ref="X4:X9" si="19">U5*W4</f>
        <v>21707.5</v>
      </c>
    </row>
    <row r="5" spans="1:24" ht="24.75" customHeight="1" x14ac:dyDescent="0.25">
      <c r="A5" s="1">
        <v>3</v>
      </c>
      <c r="B5" s="19" t="s">
        <v>21</v>
      </c>
      <c r="C5" s="18" t="s">
        <v>20</v>
      </c>
      <c r="D5" s="21" t="str">
        <f t="shared" si="0"/>
        <v>XUẤT</v>
      </c>
      <c r="E5" s="22" t="str">
        <f t="shared" si="1"/>
        <v>ĐIỆN TỬ</v>
      </c>
      <c r="F5" s="22">
        <f t="shared" si="2"/>
        <v>7000</v>
      </c>
      <c r="G5" s="22">
        <f t="shared" si="3"/>
        <v>740</v>
      </c>
      <c r="H5" s="15">
        <v>65</v>
      </c>
      <c r="I5" s="22">
        <f t="shared" si="4"/>
        <v>6</v>
      </c>
      <c r="J5" s="23">
        <f t="shared" si="5"/>
        <v>5</v>
      </c>
      <c r="K5" s="22">
        <f t="shared" si="6"/>
        <v>43415</v>
      </c>
      <c r="L5" s="24">
        <f t="shared" si="7"/>
        <v>30390.499999999996</v>
      </c>
      <c r="M5" s="1" t="str">
        <f t="shared" si="8"/>
        <v>XUẤT</v>
      </c>
      <c r="N5" s="1" t="str">
        <f t="shared" si="10"/>
        <v>ĐIỆN TỬ</v>
      </c>
      <c r="O5" s="1">
        <f t="shared" si="9"/>
        <v>7000</v>
      </c>
      <c r="P5" s="1">
        <f t="shared" si="11"/>
        <v>740</v>
      </c>
      <c r="Q5" s="1" t="str">
        <f t="shared" si="12"/>
        <v>6</v>
      </c>
      <c r="R5" s="1">
        <f t="shared" si="13"/>
        <v>5</v>
      </c>
      <c r="S5" s="1">
        <f t="shared" si="14"/>
        <v>2285</v>
      </c>
      <c r="T5" s="1">
        <f t="shared" si="15"/>
        <v>45700</v>
      </c>
      <c r="U5" s="1">
        <f t="shared" si="16"/>
        <v>43415</v>
      </c>
      <c r="V5" s="1" t="str">
        <f t="shared" si="17"/>
        <v>3</v>
      </c>
      <c r="W5" s="1">
        <f t="shared" si="18"/>
        <v>0.7</v>
      </c>
      <c r="X5" s="1">
        <f t="shared" si="19"/>
        <v>20636</v>
      </c>
    </row>
    <row r="6" spans="1:24" ht="24.75" customHeight="1" x14ac:dyDescent="0.25">
      <c r="A6" s="1">
        <v>4</v>
      </c>
      <c r="B6" s="15" t="s">
        <v>33</v>
      </c>
      <c r="C6" s="17" t="s">
        <v>32</v>
      </c>
      <c r="D6" s="21" t="str">
        <f t="shared" si="0"/>
        <v>NHẬP</v>
      </c>
      <c r="E6" s="22" t="str">
        <f t="shared" si="1"/>
        <v>ĐIỆN TỬ</v>
      </c>
      <c r="F6" s="22">
        <f t="shared" si="2"/>
        <v>7000</v>
      </c>
      <c r="G6" s="22">
        <f t="shared" si="3"/>
        <v>740</v>
      </c>
      <c r="H6" s="16">
        <v>42</v>
      </c>
      <c r="I6" s="22">
        <f t="shared" si="4"/>
        <v>4</v>
      </c>
      <c r="J6" s="23">
        <f t="shared" si="5"/>
        <v>2</v>
      </c>
      <c r="K6" s="22">
        <f t="shared" si="6"/>
        <v>29480</v>
      </c>
      <c r="L6" s="24">
        <f t="shared" si="7"/>
        <v>14740</v>
      </c>
      <c r="M6" s="1" t="str">
        <f t="shared" si="8"/>
        <v>NHẬP</v>
      </c>
      <c r="N6" s="1" t="str">
        <f t="shared" si="10"/>
        <v>ĐIỆN TỬ</v>
      </c>
      <c r="O6" s="1">
        <f t="shared" si="9"/>
        <v>7000</v>
      </c>
      <c r="P6" s="1">
        <f t="shared" si="11"/>
        <v>740</v>
      </c>
      <c r="Q6" s="1" t="str">
        <f t="shared" si="12"/>
        <v>4</v>
      </c>
      <c r="R6" s="1">
        <f t="shared" si="13"/>
        <v>2</v>
      </c>
      <c r="S6" s="1">
        <f t="shared" si="14"/>
        <v>0</v>
      </c>
      <c r="T6" s="1">
        <f t="shared" si="15"/>
        <v>29480</v>
      </c>
      <c r="U6" s="1">
        <f t="shared" si="16"/>
        <v>29480</v>
      </c>
      <c r="V6" s="1" t="str">
        <f t="shared" si="17"/>
        <v>2</v>
      </c>
      <c r="W6" s="1">
        <f t="shared" si="18"/>
        <v>0.5</v>
      </c>
      <c r="X6" s="1">
        <f t="shared" si="19"/>
        <v>11732.5</v>
      </c>
    </row>
    <row r="7" spans="1:24" ht="24.75" customHeight="1" x14ac:dyDescent="0.25">
      <c r="A7" s="1">
        <v>5</v>
      </c>
      <c r="B7" s="15" t="s">
        <v>37</v>
      </c>
      <c r="C7" s="17" t="s">
        <v>36</v>
      </c>
      <c r="D7" s="21" t="str">
        <f t="shared" si="0"/>
        <v>XUẤT</v>
      </c>
      <c r="E7" s="22" t="str">
        <f t="shared" si="1"/>
        <v>ĐIỆN TỬ</v>
      </c>
      <c r="F7" s="22">
        <f t="shared" si="2"/>
        <v>7000</v>
      </c>
      <c r="G7" s="22">
        <f t="shared" si="3"/>
        <v>740</v>
      </c>
      <c r="H7" s="16">
        <v>35</v>
      </c>
      <c r="I7" s="22">
        <f t="shared" si="4"/>
        <v>3</v>
      </c>
      <c r="J7" s="23">
        <f t="shared" si="5"/>
        <v>5</v>
      </c>
      <c r="K7" s="22">
        <f t="shared" si="6"/>
        <v>23465</v>
      </c>
      <c r="L7" s="24">
        <f t="shared" si="7"/>
        <v>14079</v>
      </c>
      <c r="M7" s="1" t="str">
        <f t="shared" si="8"/>
        <v>XUẤT</v>
      </c>
      <c r="N7" s="1" t="str">
        <f t="shared" si="10"/>
        <v>ĐIỆN TỬ</v>
      </c>
      <c r="O7" s="1">
        <f t="shared" si="9"/>
        <v>7000</v>
      </c>
      <c r="P7" s="1">
        <f t="shared" si="11"/>
        <v>740</v>
      </c>
      <c r="Q7" s="1" t="str">
        <f t="shared" si="12"/>
        <v>3</v>
      </c>
      <c r="R7" s="1">
        <f t="shared" si="13"/>
        <v>5</v>
      </c>
      <c r="S7" s="1">
        <f t="shared" si="14"/>
        <v>1235</v>
      </c>
      <c r="T7" s="1">
        <f t="shared" si="15"/>
        <v>24700</v>
      </c>
      <c r="U7" s="1">
        <f t="shared" si="16"/>
        <v>23465</v>
      </c>
      <c r="V7" s="1" t="str">
        <f t="shared" si="17"/>
        <v>1</v>
      </c>
      <c r="W7" s="1">
        <f t="shared" si="18"/>
        <v>0.6</v>
      </c>
      <c r="X7" s="1">
        <f t="shared" si="19"/>
        <v>11280</v>
      </c>
    </row>
    <row r="8" spans="1:24" ht="24.75" customHeight="1" x14ac:dyDescent="0.25">
      <c r="A8" s="1">
        <v>6</v>
      </c>
      <c r="B8" s="19" t="s">
        <v>25</v>
      </c>
      <c r="C8" s="17" t="s">
        <v>24</v>
      </c>
      <c r="D8" s="21" t="str">
        <f t="shared" si="0"/>
        <v>XUẤT</v>
      </c>
      <c r="E8" s="22" t="str">
        <f t="shared" si="1"/>
        <v>GIA DỤNG</v>
      </c>
      <c r="F8" s="22">
        <f t="shared" si="2"/>
        <v>5350</v>
      </c>
      <c r="G8" s="22">
        <f t="shared" si="3"/>
        <v>550</v>
      </c>
      <c r="H8" s="16">
        <v>35</v>
      </c>
      <c r="I8" s="22">
        <f t="shared" si="4"/>
        <v>3</v>
      </c>
      <c r="J8" s="23">
        <f t="shared" si="5"/>
        <v>5</v>
      </c>
      <c r="K8" s="22">
        <f t="shared" si="6"/>
        <v>18800</v>
      </c>
      <c r="L8" s="24">
        <f t="shared" si="7"/>
        <v>13160</v>
      </c>
      <c r="M8" s="1" t="str">
        <f t="shared" si="8"/>
        <v>XUẤT</v>
      </c>
      <c r="N8" s="1" t="str">
        <f t="shared" si="10"/>
        <v>GIA DỤNG</v>
      </c>
      <c r="O8" s="1">
        <f t="shared" si="9"/>
        <v>5350</v>
      </c>
      <c r="P8" s="1">
        <f t="shared" si="11"/>
        <v>550</v>
      </c>
      <c r="Q8" s="1" t="str">
        <f t="shared" si="12"/>
        <v>3</v>
      </c>
      <c r="R8" s="1">
        <f t="shared" si="13"/>
        <v>5</v>
      </c>
      <c r="S8" s="1">
        <f t="shared" si="14"/>
        <v>0</v>
      </c>
      <c r="T8" s="1">
        <f t="shared" si="15"/>
        <v>18800</v>
      </c>
      <c r="U8" s="1">
        <f t="shared" si="16"/>
        <v>18800</v>
      </c>
      <c r="V8" s="1" t="str">
        <f t="shared" si="17"/>
        <v>3</v>
      </c>
      <c r="W8" s="1">
        <f t="shared" si="18"/>
        <v>0.7</v>
      </c>
      <c r="X8" s="1">
        <f t="shared" si="19"/>
        <v>12390</v>
      </c>
    </row>
    <row r="9" spans="1:24" ht="24.75" customHeight="1" x14ac:dyDescent="0.25">
      <c r="A9" s="1">
        <v>7</v>
      </c>
      <c r="B9" s="15" t="s">
        <v>35</v>
      </c>
      <c r="C9" s="17" t="s">
        <v>34</v>
      </c>
      <c r="D9" s="21" t="str">
        <f t="shared" si="0"/>
        <v>NHẬP</v>
      </c>
      <c r="E9" s="22" t="str">
        <f t="shared" si="1"/>
        <v>GIA DỤNG</v>
      </c>
      <c r="F9" s="22">
        <f t="shared" si="2"/>
        <v>5350</v>
      </c>
      <c r="G9" s="22">
        <f t="shared" si="3"/>
        <v>550</v>
      </c>
      <c r="H9" s="16">
        <v>33</v>
      </c>
      <c r="I9" s="22">
        <f t="shared" si="4"/>
        <v>3</v>
      </c>
      <c r="J9" s="23">
        <f t="shared" si="5"/>
        <v>3</v>
      </c>
      <c r="K9" s="22">
        <f t="shared" si="6"/>
        <v>17700</v>
      </c>
      <c r="L9" s="24">
        <f t="shared" si="7"/>
        <v>8850</v>
      </c>
      <c r="M9" s="1" t="str">
        <f t="shared" si="8"/>
        <v>NHẬP</v>
      </c>
      <c r="N9" s="1" t="str">
        <f t="shared" si="10"/>
        <v>GIA DỤNG</v>
      </c>
      <c r="O9" s="1">
        <f t="shared" si="9"/>
        <v>5350</v>
      </c>
      <c r="P9" s="1">
        <f t="shared" si="11"/>
        <v>550</v>
      </c>
      <c r="Q9" s="1" t="str">
        <f t="shared" si="12"/>
        <v>3</v>
      </c>
      <c r="R9" s="1">
        <f t="shared" si="13"/>
        <v>3</v>
      </c>
      <c r="S9" s="1">
        <f t="shared" si="14"/>
        <v>0</v>
      </c>
      <c r="T9" s="1">
        <f t="shared" si="15"/>
        <v>17700</v>
      </c>
      <c r="U9" s="1">
        <f t="shared" si="16"/>
        <v>17700</v>
      </c>
      <c r="V9" s="1" t="str">
        <f t="shared" si="17"/>
        <v>2</v>
      </c>
      <c r="W9" s="1">
        <f t="shared" si="18"/>
        <v>0.5</v>
      </c>
      <c r="X9" s="1">
        <f t="shared" si="19"/>
        <v>25260</v>
      </c>
    </row>
    <row r="10" spans="1:24" ht="24.75" customHeight="1" x14ac:dyDescent="0.25">
      <c r="A10" s="1">
        <v>8</v>
      </c>
      <c r="B10" s="15" t="s">
        <v>31</v>
      </c>
      <c r="C10" s="17" t="s">
        <v>30</v>
      </c>
      <c r="D10" s="21" t="str">
        <f t="shared" si="0"/>
        <v>XUẤT</v>
      </c>
      <c r="E10" s="22" t="str">
        <f t="shared" si="1"/>
        <v>VI TÍNH</v>
      </c>
      <c r="F10" s="22">
        <f t="shared" si="2"/>
        <v>9000</v>
      </c>
      <c r="G10" s="22">
        <f t="shared" si="3"/>
        <v>920</v>
      </c>
      <c r="H10" s="16">
        <v>56</v>
      </c>
      <c r="I10" s="22">
        <f t="shared" si="4"/>
        <v>5</v>
      </c>
      <c r="J10" s="23">
        <f t="shared" si="5"/>
        <v>6</v>
      </c>
      <c r="K10" s="22">
        <f t="shared" si="6"/>
        <v>50520</v>
      </c>
      <c r="L10" s="24">
        <f t="shared" si="7"/>
        <v>35364</v>
      </c>
      <c r="M10" s="1" t="str">
        <f t="shared" si="8"/>
        <v>XUẤT</v>
      </c>
      <c r="N10" s="1" t="str">
        <f t="shared" si="10"/>
        <v>VI TÍNH</v>
      </c>
      <c r="O10" s="1">
        <f t="shared" si="9"/>
        <v>9000</v>
      </c>
      <c r="P10" s="1">
        <f t="shared" si="11"/>
        <v>920</v>
      </c>
      <c r="Q10" s="1" t="str">
        <f t="shared" si="12"/>
        <v>5</v>
      </c>
      <c r="R10" s="1">
        <f t="shared" si="13"/>
        <v>6</v>
      </c>
      <c r="S10" s="1">
        <f t="shared" si="14"/>
        <v>0</v>
      </c>
      <c r="T10" s="1">
        <f t="shared" si="15"/>
        <v>50520</v>
      </c>
      <c r="U10" s="1">
        <f t="shared" si="16"/>
        <v>50520</v>
      </c>
      <c r="V10" s="1" t="str">
        <f t="shared" si="17"/>
        <v>3</v>
      </c>
      <c r="W10" s="1">
        <f t="shared" si="18"/>
        <v>0.7</v>
      </c>
      <c r="X10" s="1">
        <f>U10*V10</f>
        <v>151560</v>
      </c>
    </row>
    <row r="11" spans="1:24" ht="21.75" customHeight="1" x14ac:dyDescent="0.25">
      <c r="A11" s="1">
        <v>9</v>
      </c>
      <c r="B11" s="19" t="s">
        <v>27</v>
      </c>
      <c r="C11" s="17" t="s">
        <v>26</v>
      </c>
      <c r="D11" s="21" t="str">
        <f t="shared" si="0"/>
        <v>NHẬP</v>
      </c>
      <c r="E11" s="22" t="str">
        <f t="shared" si="1"/>
        <v>VI TÍNH</v>
      </c>
      <c r="F11" s="22">
        <f t="shared" si="2"/>
        <v>9000</v>
      </c>
      <c r="G11" s="22">
        <f t="shared" si="3"/>
        <v>920</v>
      </c>
      <c r="H11" s="16">
        <v>46</v>
      </c>
      <c r="I11" s="22">
        <f t="shared" si="4"/>
        <v>4</v>
      </c>
      <c r="J11" s="23">
        <f t="shared" si="5"/>
        <v>6</v>
      </c>
      <c r="K11" s="22">
        <f t="shared" si="6"/>
        <v>41520</v>
      </c>
      <c r="L11" s="24">
        <f t="shared" si="7"/>
        <v>24912</v>
      </c>
      <c r="M11" s="1" t="str">
        <f t="shared" si="8"/>
        <v>NHẬP</v>
      </c>
      <c r="N11" s="1" t="str">
        <f t="shared" si="10"/>
        <v>VI TÍNH</v>
      </c>
      <c r="O11" s="1">
        <f t="shared" si="9"/>
        <v>9000</v>
      </c>
      <c r="P11" s="1">
        <f t="shared" si="11"/>
        <v>920</v>
      </c>
      <c r="Q11" s="1" t="str">
        <f t="shared" si="12"/>
        <v>4</v>
      </c>
      <c r="R11" s="1">
        <f t="shared" si="13"/>
        <v>6</v>
      </c>
      <c r="S11" s="1">
        <f t="shared" si="14"/>
        <v>0</v>
      </c>
      <c r="T11" s="1">
        <f t="shared" si="15"/>
        <v>41520</v>
      </c>
      <c r="U11" s="1">
        <f t="shared" si="16"/>
        <v>41520</v>
      </c>
      <c r="V11" s="1" t="str">
        <f t="shared" si="17"/>
        <v>1</v>
      </c>
      <c r="W11" s="1">
        <f t="shared" si="18"/>
        <v>0.6</v>
      </c>
      <c r="X11" s="1">
        <f>U11*W11</f>
        <v>24912</v>
      </c>
    </row>
    <row r="12" spans="1:24" ht="22.5" customHeight="1" x14ac:dyDescent="0.25">
      <c r="B12" s="89" t="s">
        <v>3</v>
      </c>
      <c r="C12" s="89"/>
      <c r="D12" s="89"/>
      <c r="E12" s="2"/>
      <c r="F12" s="2"/>
      <c r="G12" s="3"/>
      <c r="H12" s="89" t="s">
        <v>19</v>
      </c>
      <c r="I12" s="89"/>
      <c r="J12" s="89"/>
      <c r="K12" s="3"/>
    </row>
    <row r="13" spans="1:24" ht="22.5" customHeight="1" x14ac:dyDescent="0.25">
      <c r="B13" s="14" t="s">
        <v>5</v>
      </c>
      <c r="C13" s="4" t="s">
        <v>0</v>
      </c>
      <c r="D13" s="4" t="s">
        <v>18</v>
      </c>
      <c r="E13" s="14" t="s">
        <v>17</v>
      </c>
      <c r="F13" s="3"/>
      <c r="G13" s="5"/>
      <c r="H13" s="8" t="s">
        <v>16</v>
      </c>
      <c r="I13" s="8">
        <v>1</v>
      </c>
      <c r="J13" s="8">
        <v>2</v>
      </c>
      <c r="K13" s="10">
        <v>3</v>
      </c>
    </row>
    <row r="14" spans="1:24" ht="23.25" customHeight="1" x14ac:dyDescent="0.25">
      <c r="B14" s="8" t="s">
        <v>15</v>
      </c>
      <c r="C14" s="8" t="s">
        <v>11</v>
      </c>
      <c r="D14" s="8">
        <v>7000</v>
      </c>
      <c r="E14" s="8">
        <v>740</v>
      </c>
      <c r="F14" s="6"/>
      <c r="G14" s="5"/>
      <c r="H14" s="8" t="s">
        <v>14</v>
      </c>
      <c r="I14" s="13">
        <v>0.6</v>
      </c>
      <c r="J14" s="13">
        <v>0.5</v>
      </c>
      <c r="K14" s="12">
        <v>0.7</v>
      </c>
    </row>
    <row r="15" spans="1:24" ht="23.25" customHeight="1" x14ac:dyDescent="0.25">
      <c r="B15" s="8" t="s">
        <v>13</v>
      </c>
      <c r="C15" s="8" t="s">
        <v>10</v>
      </c>
      <c r="D15" s="8">
        <v>5350</v>
      </c>
      <c r="E15" s="8">
        <v>550</v>
      </c>
      <c r="F15" s="6"/>
      <c r="G15" s="9"/>
      <c r="H15" s="90" t="s">
        <v>4</v>
      </c>
      <c r="I15" s="90"/>
      <c r="J15" s="90"/>
      <c r="K15" s="90"/>
    </row>
    <row r="16" spans="1:24" ht="34.5" customHeight="1" x14ac:dyDescent="0.25">
      <c r="B16" s="8" t="s">
        <v>12</v>
      </c>
      <c r="C16" s="8" t="s">
        <v>9</v>
      </c>
      <c r="D16" s="8">
        <v>9000</v>
      </c>
      <c r="E16" s="8">
        <v>920</v>
      </c>
      <c r="F16" s="26"/>
      <c r="G16" s="9"/>
      <c r="H16" s="11" t="s">
        <v>0</v>
      </c>
      <c r="I16" s="8" t="s">
        <v>11</v>
      </c>
      <c r="J16" s="8" t="s">
        <v>10</v>
      </c>
      <c r="K16" s="8" t="s">
        <v>9</v>
      </c>
      <c r="L16" s="8" t="s">
        <v>7</v>
      </c>
    </row>
    <row r="17" spans="2:12" ht="25.5" customHeight="1" x14ac:dyDescent="0.25">
      <c r="B17" s="25" t="s">
        <v>8</v>
      </c>
      <c r="C17" s="8" t="s">
        <v>7</v>
      </c>
      <c r="D17" s="8">
        <v>9150</v>
      </c>
      <c r="E17" s="8">
        <v>950</v>
      </c>
      <c r="H17" s="10" t="s">
        <v>6</v>
      </c>
      <c r="I17" s="10">
        <f>SUMIF($E$3:$E$11,I16,$K$3:$K$11)</f>
        <v>96360</v>
      </c>
      <c r="J17" s="10">
        <f>SUMIF($E$3:$E$11,J16,$K$3:$K$11)</f>
        <v>36500</v>
      </c>
      <c r="K17" s="10">
        <f>SUMIF($E$3:$E$11,K16,$K$3:$K$11)</f>
        <v>92040</v>
      </c>
      <c r="L17" s="10">
        <f>SUMIF($E$3:$E$11,L16,$K$3:$K$11)</f>
        <v>67850</v>
      </c>
    </row>
    <row r="18" spans="2:12" x14ac:dyDescent="0.25">
      <c r="I18" s="1">
        <f>SUMIF($N$3:$N$11,I16:L16,U3:$U$11)</f>
        <v>96360</v>
      </c>
      <c r="J18" s="1">
        <f>SUMIF($N$3:$N$11,J16:M16,$U3:V$11)</f>
        <v>36500</v>
      </c>
      <c r="K18" s="1">
        <f>SUMIF($N$3:$N$11,K16:N16,$U3:W$11)</f>
        <v>92040</v>
      </c>
      <c r="L18" s="1">
        <f>SUMIF($N$3:$N$11,L16:O16,$U3:X$11)</f>
        <v>67850</v>
      </c>
    </row>
  </sheetData>
  <sortState ref="B3:M11">
    <sortCondition ref="E3:E11"/>
    <sortCondition descending="1" ref="H3:H11"/>
  </sortState>
  <mergeCells count="4">
    <mergeCell ref="C1:K1"/>
    <mergeCell ref="B12:D12"/>
    <mergeCell ref="H12:J12"/>
    <mergeCell ref="H15:K15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opLeftCell="A9" workbookViewId="0">
      <selection activeCell="B26" sqref="B26"/>
    </sheetView>
  </sheetViews>
  <sheetFormatPr defaultRowHeight="16.5" x14ac:dyDescent="0.25"/>
  <cols>
    <col min="1" max="1" width="9.140625" style="27"/>
    <col min="2" max="2" width="20.42578125" style="27" bestFit="1" customWidth="1"/>
    <col min="3" max="3" width="15.85546875" style="27" bestFit="1" customWidth="1"/>
    <col min="4" max="4" width="13" style="27" bestFit="1" customWidth="1"/>
    <col min="5" max="5" width="15.85546875" style="27" bestFit="1" customWidth="1"/>
    <col min="6" max="6" width="16.42578125" style="27" bestFit="1" customWidth="1"/>
    <col min="7" max="7" width="20.5703125" style="27" bestFit="1" customWidth="1"/>
    <col min="8" max="8" width="20.5703125" style="42" bestFit="1" customWidth="1"/>
    <col min="9" max="9" width="14.140625" style="27" bestFit="1" customWidth="1"/>
    <col min="10" max="10" width="9.140625" style="27"/>
    <col min="11" max="11" width="11" style="42" bestFit="1" customWidth="1"/>
    <col min="12" max="12" width="15.5703125" style="27" bestFit="1" customWidth="1"/>
    <col min="13" max="16384" width="9.140625" style="27"/>
  </cols>
  <sheetData>
    <row r="1" spans="1:13" ht="17.25" thickBot="1" x14ac:dyDescent="0.3">
      <c r="A1" s="27" t="s">
        <v>48</v>
      </c>
    </row>
    <row r="2" spans="1:13" s="28" customFormat="1" ht="33.75" thickTop="1" x14ac:dyDescent="0.25">
      <c r="A2" s="29" t="s">
        <v>49</v>
      </c>
      <c r="B2" s="30" t="s">
        <v>5</v>
      </c>
      <c r="C2" s="30" t="s">
        <v>50</v>
      </c>
      <c r="D2" s="30" t="s">
        <v>51</v>
      </c>
      <c r="E2" s="30" t="s">
        <v>0</v>
      </c>
      <c r="F2" s="30" t="s">
        <v>52</v>
      </c>
      <c r="G2" s="30" t="s">
        <v>53</v>
      </c>
      <c r="H2" s="43" t="s">
        <v>54</v>
      </c>
      <c r="I2" s="31" t="s">
        <v>55</v>
      </c>
      <c r="K2" s="46"/>
    </row>
    <row r="3" spans="1:13" x14ac:dyDescent="0.25">
      <c r="A3" s="32">
        <v>6</v>
      </c>
      <c r="B3" s="33" t="s">
        <v>62</v>
      </c>
      <c r="C3" s="33">
        <v>45</v>
      </c>
      <c r="D3" s="33" t="str">
        <f t="shared" ref="D3:D9" si="0">RIGHT(B3,1)</f>
        <v>1</v>
      </c>
      <c r="E3" s="33" t="str">
        <f t="shared" ref="E3:E9" si="1">VLOOKUP(LEFT(B3,1),$A$13:$B$18,2,0)</f>
        <v>Vở học sinh</v>
      </c>
      <c r="F3" s="33">
        <f t="shared" ref="F3:F9" si="2">VLOOKUP(E3,$B$13:$D$18,IF(VALUE(D3)=1,2,3),0)</f>
        <v>3500</v>
      </c>
      <c r="G3" s="33">
        <f t="shared" ref="G3:G9" si="3">C3*F3</f>
        <v>157500</v>
      </c>
      <c r="H3" s="39">
        <f>HLOOKUP(MID(B3,4,1),$H$12:$K$13,2,0)</f>
        <v>1.0999999999999999E-2</v>
      </c>
      <c r="I3" s="34">
        <f>G3+L3</f>
        <v>159232.5</v>
      </c>
      <c r="J3" s="27">
        <v>1</v>
      </c>
      <c r="K3" s="42">
        <f>RIGHT(B3,1)*1</f>
        <v>1</v>
      </c>
      <c r="L3" s="27">
        <f>G3*H3</f>
        <v>1732.5</v>
      </c>
      <c r="M3" s="27">
        <f>RIGHT(B3,1)*1</f>
        <v>1</v>
      </c>
    </row>
    <row r="4" spans="1:13" x14ac:dyDescent="0.25">
      <c r="A4" s="32">
        <v>7</v>
      </c>
      <c r="B4" s="33" t="s">
        <v>63</v>
      </c>
      <c r="C4" s="33">
        <v>20</v>
      </c>
      <c r="D4" s="33" t="str">
        <f t="shared" si="0"/>
        <v>2</v>
      </c>
      <c r="E4" s="33" t="str">
        <f t="shared" si="1"/>
        <v>Sách kỹ thuật</v>
      </c>
      <c r="F4" s="33">
        <f t="shared" si="2"/>
        <v>19000</v>
      </c>
      <c r="G4" s="33">
        <f t="shared" si="3"/>
        <v>380000</v>
      </c>
      <c r="H4" s="39">
        <f t="shared" ref="H4:H9" si="4">HLOOKUP(MID(B4,4,1),$H$12:$K$13,2,0)</f>
        <v>3.0000000000000001E-3</v>
      </c>
      <c r="I4" s="34">
        <f t="shared" ref="I4:I9" si="5">G4+L4</f>
        <v>381140</v>
      </c>
      <c r="J4" s="27">
        <v>2</v>
      </c>
      <c r="K4" s="42" t="str">
        <f t="shared" ref="K4:K9" si="6">RIGHT(B4,1)</f>
        <v>2</v>
      </c>
      <c r="L4" s="27">
        <f t="shared" ref="L4:L9" si="7">G4*H4</f>
        <v>1140</v>
      </c>
      <c r="M4" s="27">
        <f t="shared" ref="M4:M9" si="8">RIGHT(B4,1)*1</f>
        <v>2</v>
      </c>
    </row>
    <row r="5" spans="1:13" x14ac:dyDescent="0.25">
      <c r="A5" s="32">
        <v>5</v>
      </c>
      <c r="B5" s="33" t="s">
        <v>61</v>
      </c>
      <c r="C5" s="33">
        <v>189</v>
      </c>
      <c r="D5" s="33" t="str">
        <f t="shared" si="0"/>
        <v>1</v>
      </c>
      <c r="E5" s="33" t="str">
        <f t="shared" si="1"/>
        <v>Hồ sơ các loại</v>
      </c>
      <c r="F5" s="33">
        <f t="shared" si="2"/>
        <v>3000</v>
      </c>
      <c r="G5" s="33">
        <f t="shared" si="3"/>
        <v>567000</v>
      </c>
      <c r="H5" s="39">
        <f t="shared" si="4"/>
        <v>1E-3</v>
      </c>
      <c r="I5" s="34">
        <f t="shared" si="5"/>
        <v>567567</v>
      </c>
      <c r="J5" s="27">
        <v>3</v>
      </c>
      <c r="K5" s="42" t="str">
        <f t="shared" si="6"/>
        <v>1</v>
      </c>
      <c r="L5" s="27">
        <f t="shared" si="7"/>
        <v>567</v>
      </c>
      <c r="M5" s="27">
        <f t="shared" si="8"/>
        <v>1</v>
      </c>
    </row>
    <row r="6" spans="1:13" x14ac:dyDescent="0.25">
      <c r="A6" s="32">
        <v>2</v>
      </c>
      <c r="B6" s="33" t="s">
        <v>58</v>
      </c>
      <c r="C6" s="33">
        <v>200</v>
      </c>
      <c r="D6" s="33" t="str">
        <f t="shared" si="0"/>
        <v>2</v>
      </c>
      <c r="E6" s="33" t="str">
        <f t="shared" si="1"/>
        <v>Vở học sinh</v>
      </c>
      <c r="F6" s="33">
        <f t="shared" si="2"/>
        <v>3000</v>
      </c>
      <c r="G6" s="33">
        <f t="shared" si="3"/>
        <v>600000</v>
      </c>
      <c r="H6" s="39">
        <f t="shared" si="4"/>
        <v>1.2E-2</v>
      </c>
      <c r="I6" s="34">
        <f t="shared" si="5"/>
        <v>607200</v>
      </c>
      <c r="J6" s="27">
        <v>4</v>
      </c>
      <c r="K6" s="42" t="str">
        <f t="shared" si="6"/>
        <v>2</v>
      </c>
      <c r="L6" s="27">
        <f t="shared" si="7"/>
        <v>7200</v>
      </c>
      <c r="M6" s="27">
        <f t="shared" si="8"/>
        <v>2</v>
      </c>
    </row>
    <row r="7" spans="1:13" x14ac:dyDescent="0.25">
      <c r="A7" s="32">
        <v>1</v>
      </c>
      <c r="B7" s="33" t="s">
        <v>57</v>
      </c>
      <c r="C7" s="33">
        <v>300</v>
      </c>
      <c r="D7" s="33" t="str">
        <f t="shared" si="0"/>
        <v>2</v>
      </c>
      <c r="E7" s="33" t="str">
        <f t="shared" si="1"/>
        <v>Sách giáo khoa</v>
      </c>
      <c r="F7" s="33">
        <f t="shared" si="2"/>
        <v>10000</v>
      </c>
      <c r="G7" s="33">
        <f t="shared" si="3"/>
        <v>3000000</v>
      </c>
      <c r="H7" s="39">
        <f t="shared" si="4"/>
        <v>3.0000000000000001E-3</v>
      </c>
      <c r="I7" s="34">
        <f t="shared" si="5"/>
        <v>3009000</v>
      </c>
      <c r="J7" s="27">
        <v>5</v>
      </c>
      <c r="K7" s="42" t="str">
        <f t="shared" si="6"/>
        <v>2</v>
      </c>
      <c r="L7" s="27">
        <f t="shared" si="7"/>
        <v>9000</v>
      </c>
      <c r="M7" s="27">
        <f t="shared" si="8"/>
        <v>2</v>
      </c>
    </row>
    <row r="8" spans="1:13" x14ac:dyDescent="0.25">
      <c r="A8" s="32">
        <v>3</v>
      </c>
      <c r="B8" s="33" t="s">
        <v>59</v>
      </c>
      <c r="C8" s="33">
        <v>234</v>
      </c>
      <c r="D8" s="33" t="str">
        <f t="shared" si="0"/>
        <v>2</v>
      </c>
      <c r="E8" s="33" t="str">
        <f t="shared" si="1"/>
        <v>Sách nghệ thuật</v>
      </c>
      <c r="F8" s="33">
        <f t="shared" si="2"/>
        <v>16000</v>
      </c>
      <c r="G8" s="33">
        <f t="shared" si="3"/>
        <v>3744000</v>
      </c>
      <c r="H8" s="39">
        <f t="shared" si="4"/>
        <v>3.0000000000000001E-3</v>
      </c>
      <c r="I8" s="34">
        <f t="shared" si="5"/>
        <v>3755232</v>
      </c>
      <c r="J8" s="27">
        <v>6</v>
      </c>
      <c r="K8" s="42" t="str">
        <f t="shared" si="6"/>
        <v>2</v>
      </c>
      <c r="L8" s="27">
        <f t="shared" si="7"/>
        <v>11232</v>
      </c>
      <c r="M8" s="27">
        <f t="shared" si="8"/>
        <v>2</v>
      </c>
    </row>
    <row r="9" spans="1:13" x14ac:dyDescent="0.25">
      <c r="A9" s="32">
        <v>4</v>
      </c>
      <c r="B9" s="33" t="s">
        <v>60</v>
      </c>
      <c r="C9" s="33">
        <v>235</v>
      </c>
      <c r="D9" s="33" t="str">
        <f t="shared" si="0"/>
        <v>1</v>
      </c>
      <c r="E9" s="33" t="str">
        <f t="shared" si="1"/>
        <v>Sách kinh tế</v>
      </c>
      <c r="F9" s="33">
        <f t="shared" si="2"/>
        <v>30000</v>
      </c>
      <c r="G9" s="33">
        <f t="shared" si="3"/>
        <v>7050000</v>
      </c>
      <c r="H9" s="39">
        <f t="shared" si="4"/>
        <v>1E-3</v>
      </c>
      <c r="I9" s="34">
        <f t="shared" si="5"/>
        <v>7057050</v>
      </c>
      <c r="J9" s="27">
        <v>7</v>
      </c>
      <c r="K9" s="42" t="str">
        <f t="shared" si="6"/>
        <v>1</v>
      </c>
      <c r="L9" s="27">
        <f t="shared" si="7"/>
        <v>7050</v>
      </c>
      <c r="M9" s="27">
        <f t="shared" si="8"/>
        <v>1</v>
      </c>
    </row>
    <row r="10" spans="1:13" ht="17.25" thickBot="1" x14ac:dyDescent="0.3">
      <c r="A10" s="35" t="s">
        <v>56</v>
      </c>
      <c r="B10" s="36"/>
      <c r="C10" s="36"/>
      <c r="D10" s="36"/>
      <c r="E10" s="36"/>
      <c r="F10" s="36"/>
      <c r="G10" s="36"/>
      <c r="H10" s="44"/>
      <c r="I10" s="37"/>
    </row>
    <row r="11" spans="1:13" ht="17.25" thickTop="1" x14ac:dyDescent="0.25">
      <c r="A11" s="27" t="s">
        <v>64</v>
      </c>
      <c r="G11" s="27" t="s">
        <v>87</v>
      </c>
    </row>
    <row r="12" spans="1:13" s="28" customFormat="1" ht="33" x14ac:dyDescent="0.25">
      <c r="A12" s="38" t="s">
        <v>65</v>
      </c>
      <c r="B12" s="38" t="s">
        <v>0</v>
      </c>
      <c r="C12" s="38" t="s">
        <v>66</v>
      </c>
      <c r="D12" s="38" t="s">
        <v>67</v>
      </c>
      <c r="E12" s="40"/>
      <c r="G12" s="38" t="s">
        <v>81</v>
      </c>
      <c r="H12" s="45" t="s">
        <v>83</v>
      </c>
      <c r="I12" s="38" t="s">
        <v>84</v>
      </c>
      <c r="J12" s="38" t="s">
        <v>85</v>
      </c>
      <c r="K12" s="45" t="s">
        <v>86</v>
      </c>
    </row>
    <row r="13" spans="1:13" x14ac:dyDescent="0.25">
      <c r="A13" s="33" t="s">
        <v>68</v>
      </c>
      <c r="B13" s="33" t="s">
        <v>74</v>
      </c>
      <c r="C13" s="33">
        <v>10500</v>
      </c>
      <c r="D13" s="33">
        <v>10000</v>
      </c>
      <c r="E13" s="41"/>
      <c r="G13" s="39" t="s">
        <v>82</v>
      </c>
      <c r="H13" s="39">
        <v>1E-3</v>
      </c>
      <c r="I13" s="39">
        <v>3.0000000000000001E-3</v>
      </c>
      <c r="J13" s="39">
        <v>1.2E-2</v>
      </c>
      <c r="K13" s="39">
        <v>1.0999999999999999E-2</v>
      </c>
    </row>
    <row r="14" spans="1:13" x14ac:dyDescent="0.25">
      <c r="A14" s="33" t="s">
        <v>69</v>
      </c>
      <c r="B14" s="33" t="s">
        <v>75</v>
      </c>
      <c r="C14" s="33">
        <v>3000</v>
      </c>
      <c r="D14" s="33">
        <v>2500</v>
      </c>
      <c r="E14" s="41"/>
    </row>
    <row r="15" spans="1:13" x14ac:dyDescent="0.25">
      <c r="A15" s="33" t="s">
        <v>70</v>
      </c>
      <c r="B15" s="33" t="s">
        <v>76</v>
      </c>
      <c r="C15" s="33">
        <v>20000</v>
      </c>
      <c r="D15" s="33">
        <v>19000</v>
      </c>
      <c r="E15" s="41"/>
      <c r="G15" s="27" t="s">
        <v>80</v>
      </c>
    </row>
    <row r="16" spans="1:13" x14ac:dyDescent="0.25">
      <c r="A16" s="33" t="s">
        <v>71</v>
      </c>
      <c r="B16" s="33" t="s">
        <v>77</v>
      </c>
      <c r="C16" s="33">
        <v>18000</v>
      </c>
      <c r="D16" s="33">
        <v>16000</v>
      </c>
      <c r="E16" s="41"/>
      <c r="G16" s="33" t="s">
        <v>51</v>
      </c>
      <c r="H16" s="39" t="s">
        <v>88</v>
      </c>
      <c r="I16" s="33" t="s">
        <v>89</v>
      </c>
    </row>
    <row r="17" spans="1:9" x14ac:dyDescent="0.25">
      <c r="A17" s="33" t="s">
        <v>72</v>
      </c>
      <c r="B17" s="33" t="s">
        <v>78</v>
      </c>
      <c r="C17" s="33">
        <v>30000</v>
      </c>
      <c r="D17" s="33">
        <v>27000</v>
      </c>
      <c r="E17" s="41"/>
      <c r="G17" s="33">
        <v>1</v>
      </c>
      <c r="H17" s="47">
        <f>SUMIF($D$3:$D$9,$G$17:$G$18,$C$3:$C$9)</f>
        <v>469</v>
      </c>
      <c r="I17" s="33">
        <f>SUMIF($D$3:$D$9,$G$17:$G$18,$I$3:$I$9)</f>
        <v>7783849.5</v>
      </c>
    </row>
    <row r="18" spans="1:9" x14ac:dyDescent="0.25">
      <c r="A18" s="33" t="s">
        <v>73</v>
      </c>
      <c r="B18" s="33" t="s">
        <v>79</v>
      </c>
      <c r="C18" s="33">
        <v>3500</v>
      </c>
      <c r="D18" s="33">
        <v>3000</v>
      </c>
      <c r="E18" s="41"/>
      <c r="G18" s="33">
        <v>2</v>
      </c>
      <c r="H18" s="47">
        <f>SUMIF($D$3:$D$9,$G$17:$G$18,$C$3:$C$9)</f>
        <v>754</v>
      </c>
      <c r="I18" s="33">
        <f>SUMIF($D$3:$D$9,$G$17:$G$18,$I$3:$I$9)</f>
        <v>7752572</v>
      </c>
    </row>
    <row r="20" spans="1:9" x14ac:dyDescent="0.25">
      <c r="A20" s="27" t="s">
        <v>90</v>
      </c>
    </row>
    <row r="21" spans="1:9" x14ac:dyDescent="0.25">
      <c r="A21" s="33"/>
      <c r="B21" s="33" t="s">
        <v>75</v>
      </c>
      <c r="C21" s="33" t="s">
        <v>74</v>
      </c>
      <c r="D21" s="33" t="s">
        <v>78</v>
      </c>
      <c r="E21" s="33" t="s">
        <v>76</v>
      </c>
      <c r="F21" s="33" t="s">
        <v>77</v>
      </c>
      <c r="G21" s="33" t="s">
        <v>79</v>
      </c>
    </row>
    <row r="22" spans="1:9" x14ac:dyDescent="0.25">
      <c r="A22" s="33" t="s">
        <v>91</v>
      </c>
      <c r="B22" s="33">
        <f>SUMIF($E$3:$E$9,B21:G21,$C$3:$C$9)</f>
        <v>189</v>
      </c>
      <c r="C22" s="33">
        <f t="shared" ref="C22:G22" si="9">SUMIF($E$3:$E$9,C21:H21,$C$3:$C$9)</f>
        <v>300</v>
      </c>
      <c r="D22" s="33">
        <f t="shared" si="9"/>
        <v>235</v>
      </c>
      <c r="E22" s="33">
        <f t="shared" si="9"/>
        <v>20</v>
      </c>
      <c r="F22" s="33">
        <f t="shared" si="9"/>
        <v>234</v>
      </c>
      <c r="G22" s="33">
        <f t="shared" si="9"/>
        <v>245</v>
      </c>
    </row>
    <row r="24" spans="1:9" x14ac:dyDescent="0.25">
      <c r="A24" s="27" t="s">
        <v>92</v>
      </c>
    </row>
    <row r="25" spans="1:9" x14ac:dyDescent="0.25">
      <c r="B25" s="33" t="s">
        <v>75</v>
      </c>
      <c r="C25" s="33" t="s">
        <v>74</v>
      </c>
      <c r="D25" s="33" t="s">
        <v>78</v>
      </c>
      <c r="E25" s="33" t="s">
        <v>76</v>
      </c>
      <c r="F25" s="33" t="s">
        <v>77</v>
      </c>
      <c r="G25" s="33" t="s">
        <v>79</v>
      </c>
    </row>
    <row r="26" spans="1:9" x14ac:dyDescent="0.25">
      <c r="A26" s="27">
        <v>1</v>
      </c>
      <c r="B26" s="27">
        <f>SUMIFS($I$3:$I$9,$D$3:$D$9,$A$26:$A$27,$E$3:$E$9,$B$25:$G$25)</f>
        <v>567567</v>
      </c>
      <c r="C26" s="27">
        <f t="shared" ref="C26:G27" si="10">SUMIFS($I$3:$I$9,$D$3:$D$9,$A$26:$A$27,$E$3:$E$9,$B$25:$G$25)</f>
        <v>0</v>
      </c>
      <c r="D26" s="27">
        <f t="shared" si="10"/>
        <v>7057050</v>
      </c>
      <c r="E26" s="27">
        <f t="shared" si="10"/>
        <v>0</v>
      </c>
      <c r="F26" s="27">
        <f t="shared" si="10"/>
        <v>0</v>
      </c>
      <c r="G26" s="27">
        <f t="shared" si="10"/>
        <v>159232.5</v>
      </c>
    </row>
    <row r="27" spans="1:9" x14ac:dyDescent="0.25">
      <c r="A27" s="27">
        <v>2</v>
      </c>
      <c r="B27" s="27">
        <f>SUMIFS($I$3:$I$9,$D$3:$D$9,$A$26:$A$27,$E$3:$E$9,$B$25:$G$25)</f>
        <v>0</v>
      </c>
      <c r="C27" s="27">
        <f t="shared" si="10"/>
        <v>3009000</v>
      </c>
      <c r="D27" s="27">
        <f t="shared" si="10"/>
        <v>0</v>
      </c>
      <c r="E27" s="27">
        <f t="shared" si="10"/>
        <v>381140</v>
      </c>
      <c r="F27" s="27">
        <f t="shared" si="10"/>
        <v>3755232</v>
      </c>
      <c r="G27" s="27">
        <f t="shared" si="10"/>
        <v>607200</v>
      </c>
    </row>
  </sheetData>
  <autoFilter ref="A2:L10"/>
  <sortState ref="A3:I10">
    <sortCondition ref="G3:G10"/>
  </sortState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opLeftCell="A17" workbookViewId="0">
      <selection activeCell="L4" sqref="L4"/>
    </sheetView>
  </sheetViews>
  <sheetFormatPr defaultRowHeight="15" x14ac:dyDescent="0.25"/>
  <cols>
    <col min="1" max="1" width="19.28515625" style="1" customWidth="1"/>
    <col min="2" max="2" width="13.7109375" style="48" customWidth="1"/>
    <col min="3" max="3" width="11.85546875" style="1" bestFit="1" customWidth="1"/>
    <col min="4" max="4" width="9.140625" style="1"/>
    <col min="5" max="5" width="10.85546875" style="1" bestFit="1" customWidth="1"/>
    <col min="6" max="6" width="12.28515625" style="1" bestFit="1" customWidth="1"/>
    <col min="7" max="7" width="9.140625" style="1"/>
    <col min="8" max="8" width="15.5703125" style="1" bestFit="1" customWidth="1"/>
    <col min="9" max="9" width="10.140625" style="1" bestFit="1" customWidth="1"/>
    <col min="10" max="10" width="9.140625" style="51"/>
    <col min="11" max="16384" width="9.140625" style="1"/>
  </cols>
  <sheetData>
    <row r="1" spans="1:12" x14ac:dyDescent="0.25">
      <c r="A1" s="1" t="s">
        <v>93</v>
      </c>
    </row>
    <row r="2" spans="1:12" ht="20.100000000000001" customHeight="1" x14ac:dyDescent="0.25">
      <c r="A2" s="93" t="s">
        <v>49</v>
      </c>
      <c r="B2" s="91" t="s">
        <v>94</v>
      </c>
      <c r="C2" s="91" t="s">
        <v>95</v>
      </c>
      <c r="D2" s="92" t="s">
        <v>96</v>
      </c>
      <c r="E2" s="92"/>
      <c r="F2" s="92"/>
      <c r="G2" s="92"/>
      <c r="H2" s="91" t="s">
        <v>101</v>
      </c>
      <c r="I2" s="91" t="s">
        <v>102</v>
      </c>
      <c r="J2" s="94" t="s">
        <v>103</v>
      </c>
      <c r="K2" s="91" t="s">
        <v>104</v>
      </c>
      <c r="L2" s="1" t="s">
        <v>132</v>
      </c>
    </row>
    <row r="3" spans="1:12" ht="38.25" customHeight="1" x14ac:dyDescent="0.25">
      <c r="A3" s="93"/>
      <c r="B3" s="91"/>
      <c r="C3" s="91"/>
      <c r="D3" s="10" t="s">
        <v>97</v>
      </c>
      <c r="E3" s="10" t="s">
        <v>98</v>
      </c>
      <c r="F3" s="10" t="s">
        <v>99</v>
      </c>
      <c r="G3" s="10" t="s">
        <v>100</v>
      </c>
      <c r="H3" s="91"/>
      <c r="I3" s="91"/>
      <c r="J3" s="94"/>
      <c r="K3" s="91"/>
    </row>
    <row r="4" spans="1:12" x14ac:dyDescent="0.25">
      <c r="A4" s="49">
        <v>1</v>
      </c>
      <c r="B4" s="50" t="s">
        <v>105</v>
      </c>
      <c r="C4" s="49" t="str">
        <f>MID(B4,4,1)</f>
        <v>A</v>
      </c>
      <c r="D4" s="49">
        <v>6</v>
      </c>
      <c r="E4" s="49">
        <v>3</v>
      </c>
      <c r="F4" s="49">
        <v>5</v>
      </c>
      <c r="G4" s="49"/>
      <c r="H4" s="49" t="str">
        <f>VLOOKUP(RIGHT(B4,2),$A$16:$B$19,2,0)</f>
        <v>Miền núi</v>
      </c>
      <c r="I4" s="49">
        <f>IF(AND(C4="A",D4&gt;0,E4&gt;0,F4&gt;0),VLOOKUP(H4,$B$16:$C$19,2,0),IF(AND(C4="B",D4&gt;0,F4&gt;0,G4&gt;0),VLOOKUP(H4,$B$16:$C$19,2,0),0))</f>
        <v>0.5</v>
      </c>
      <c r="J4" s="52">
        <f>D4+E4+F4+G4+I4</f>
        <v>14.5</v>
      </c>
      <c r="K4" s="49" t="str">
        <f>IF(AND(C4="A",J4&gt;=20),"ĐẬU",IF(AND(C4="B",J4&gt;=21),"ĐẬU","RỚT"))</f>
        <v>RỚT</v>
      </c>
      <c r="L4" s="1" t="s">
        <v>307</v>
      </c>
    </row>
    <row r="5" spans="1:12" x14ac:dyDescent="0.25">
      <c r="A5" s="49">
        <v>2</v>
      </c>
      <c r="B5" s="50" t="s">
        <v>106</v>
      </c>
      <c r="C5" s="49" t="str">
        <f t="shared" ref="C5:C12" si="0">MID(B5,4,1)</f>
        <v>A</v>
      </c>
      <c r="D5" s="49">
        <v>7</v>
      </c>
      <c r="E5" s="49">
        <v>0</v>
      </c>
      <c r="F5" s="49">
        <v>4</v>
      </c>
      <c r="G5" s="49"/>
      <c r="H5" s="49" t="str">
        <f t="shared" ref="H5:H12" si="1">VLOOKUP(RIGHT(B5,2),$A$16:$B$19,2,0)</f>
        <v>Vùng sâu</v>
      </c>
      <c r="I5" s="49">
        <f t="shared" ref="I5:I12" si="2">IF(AND(C5="A",D5&gt;0,E5&gt;0,F5&gt;0),VLOOKUP(H5,$B$16:$C$19,2,0),IF(AND(C5="B",D5&gt;0,F5&gt;0,G5&gt;0),VLOOKUP(H5,$B$16:$C$19,2,0),0))</f>
        <v>0</v>
      </c>
      <c r="J5" s="52">
        <f t="shared" ref="J5:J12" si="3">D5+E5+F5+G5+I5</f>
        <v>11</v>
      </c>
      <c r="K5" s="49" t="str">
        <f t="shared" ref="K5:K12" si="4">IF(AND(C5="A",J5&gt;=20),"ĐẬU",IF(AND(C5="B",J5&gt;=21),"ĐẬU","RỚT"))</f>
        <v>RỚT</v>
      </c>
      <c r="L5" s="1" t="e">
        <f t="shared" ref="L5:L12" si="5">RANK(J5,J13)</f>
        <v>#N/A</v>
      </c>
    </row>
    <row r="6" spans="1:12" x14ac:dyDescent="0.25">
      <c r="A6" s="49">
        <v>3</v>
      </c>
      <c r="B6" s="50" t="s">
        <v>107</v>
      </c>
      <c r="C6" s="49" t="str">
        <f t="shared" si="0"/>
        <v>B</v>
      </c>
      <c r="D6" s="49">
        <v>7</v>
      </c>
      <c r="E6" s="49"/>
      <c r="F6" s="49">
        <v>5</v>
      </c>
      <c r="G6" s="49">
        <v>0</v>
      </c>
      <c r="H6" s="49" t="str">
        <f t="shared" si="1"/>
        <v>Thành phố</v>
      </c>
      <c r="I6" s="49">
        <f t="shared" si="2"/>
        <v>0</v>
      </c>
      <c r="J6" s="52">
        <f t="shared" si="3"/>
        <v>12</v>
      </c>
      <c r="K6" s="49" t="str">
        <f t="shared" si="4"/>
        <v>RỚT</v>
      </c>
      <c r="L6" s="1" t="e">
        <f t="shared" si="5"/>
        <v>#N/A</v>
      </c>
    </row>
    <row r="7" spans="1:12" x14ac:dyDescent="0.25">
      <c r="A7" s="49">
        <v>4</v>
      </c>
      <c r="B7" s="50" t="s">
        <v>108</v>
      </c>
      <c r="C7" s="49" t="str">
        <f t="shared" si="0"/>
        <v>A</v>
      </c>
      <c r="D7" s="49">
        <v>0</v>
      </c>
      <c r="E7" s="49">
        <v>5</v>
      </c>
      <c r="F7" s="49">
        <v>5</v>
      </c>
      <c r="G7" s="49"/>
      <c r="H7" s="49" t="str">
        <f t="shared" si="1"/>
        <v>Liệt sĩ</v>
      </c>
      <c r="I7" s="49">
        <f t="shared" si="2"/>
        <v>0</v>
      </c>
      <c r="J7" s="52">
        <f t="shared" si="3"/>
        <v>10</v>
      </c>
      <c r="K7" s="49" t="str">
        <f t="shared" si="4"/>
        <v>RỚT</v>
      </c>
      <c r="L7" s="1" t="e">
        <f t="shared" si="5"/>
        <v>#N/A</v>
      </c>
    </row>
    <row r="8" spans="1:12" x14ac:dyDescent="0.25">
      <c r="A8" s="49">
        <v>5</v>
      </c>
      <c r="B8" s="50" t="s">
        <v>109</v>
      </c>
      <c r="C8" s="49" t="str">
        <f t="shared" si="0"/>
        <v>A</v>
      </c>
      <c r="D8" s="49">
        <v>8</v>
      </c>
      <c r="E8" s="49">
        <v>9</v>
      </c>
      <c r="F8" s="49">
        <v>6</v>
      </c>
      <c r="G8" s="49"/>
      <c r="H8" s="49" t="str">
        <f t="shared" si="1"/>
        <v>Thành phố</v>
      </c>
      <c r="I8" s="49">
        <f t="shared" si="2"/>
        <v>0.1</v>
      </c>
      <c r="J8" s="52">
        <f t="shared" si="3"/>
        <v>23.1</v>
      </c>
      <c r="K8" s="49" t="str">
        <f t="shared" si="4"/>
        <v>ĐẬU</v>
      </c>
      <c r="L8" s="1" t="e">
        <f t="shared" si="5"/>
        <v>#N/A</v>
      </c>
    </row>
    <row r="9" spans="1:12" x14ac:dyDescent="0.25">
      <c r="A9" s="49">
        <v>6</v>
      </c>
      <c r="B9" s="50" t="s">
        <v>110</v>
      </c>
      <c r="C9" s="49" t="s">
        <v>126</v>
      </c>
      <c r="D9" s="49">
        <v>8</v>
      </c>
      <c r="E9" s="49"/>
      <c r="F9" s="49">
        <v>8</v>
      </c>
      <c r="G9" s="49">
        <v>8</v>
      </c>
      <c r="H9" s="49" t="str">
        <f t="shared" si="1"/>
        <v>Thành phố</v>
      </c>
      <c r="I9" s="49">
        <f t="shared" si="2"/>
        <v>0.1</v>
      </c>
      <c r="J9" s="52">
        <f t="shared" si="3"/>
        <v>24.1</v>
      </c>
      <c r="K9" s="49" t="str">
        <f t="shared" si="4"/>
        <v>ĐẬU</v>
      </c>
      <c r="L9" s="1" t="e">
        <f t="shared" si="5"/>
        <v>#N/A</v>
      </c>
    </row>
    <row r="10" spans="1:12" x14ac:dyDescent="0.25">
      <c r="A10" s="49">
        <v>7</v>
      </c>
      <c r="B10" s="50" t="s">
        <v>111</v>
      </c>
      <c r="C10" s="49" t="str">
        <f t="shared" si="0"/>
        <v>B</v>
      </c>
      <c r="D10" s="49">
        <v>6</v>
      </c>
      <c r="E10" s="49"/>
      <c r="F10" s="49">
        <v>8</v>
      </c>
      <c r="G10" s="49">
        <v>7</v>
      </c>
      <c r="H10" s="49" t="str">
        <f t="shared" si="1"/>
        <v>Vùng sâu</v>
      </c>
      <c r="I10" s="49">
        <f t="shared" si="2"/>
        <v>1</v>
      </c>
      <c r="J10" s="52">
        <f t="shared" si="3"/>
        <v>22</v>
      </c>
      <c r="K10" s="49" t="str">
        <f t="shared" si="4"/>
        <v>ĐẬU</v>
      </c>
      <c r="L10" s="1" t="e">
        <f t="shared" si="5"/>
        <v>#N/A</v>
      </c>
    </row>
    <row r="11" spans="1:12" x14ac:dyDescent="0.25">
      <c r="A11" s="49">
        <v>8</v>
      </c>
      <c r="B11" s="50" t="s">
        <v>112</v>
      </c>
      <c r="C11" s="49" t="str">
        <f t="shared" si="0"/>
        <v>A</v>
      </c>
      <c r="D11" s="49">
        <v>5</v>
      </c>
      <c r="E11" s="49">
        <v>6</v>
      </c>
      <c r="F11" s="49">
        <v>5</v>
      </c>
      <c r="G11" s="49"/>
      <c r="H11" s="49" t="str">
        <f t="shared" si="1"/>
        <v>Miền núi</v>
      </c>
      <c r="I11" s="49">
        <f t="shared" si="2"/>
        <v>0.5</v>
      </c>
      <c r="J11" s="52">
        <f t="shared" si="3"/>
        <v>16.5</v>
      </c>
      <c r="K11" s="49" t="str">
        <f t="shared" si="4"/>
        <v>RỚT</v>
      </c>
      <c r="L11" s="1" t="e">
        <f t="shared" si="5"/>
        <v>#N/A</v>
      </c>
    </row>
    <row r="12" spans="1:12" x14ac:dyDescent="0.25">
      <c r="A12" s="49">
        <v>9</v>
      </c>
      <c r="B12" s="50" t="s">
        <v>113</v>
      </c>
      <c r="C12" s="49" t="str">
        <f t="shared" si="0"/>
        <v>A</v>
      </c>
      <c r="D12" s="49">
        <v>7</v>
      </c>
      <c r="E12" s="49">
        <v>7</v>
      </c>
      <c r="F12" s="49">
        <v>5</v>
      </c>
      <c r="G12" s="49"/>
      <c r="H12" s="49" t="str">
        <f t="shared" si="1"/>
        <v>Thành phố</v>
      </c>
      <c r="I12" s="49">
        <f t="shared" si="2"/>
        <v>0.1</v>
      </c>
      <c r="J12" s="52">
        <f t="shared" si="3"/>
        <v>19.100000000000001</v>
      </c>
      <c r="K12" s="49" t="str">
        <f t="shared" si="4"/>
        <v>RỚT</v>
      </c>
      <c r="L12" s="1" t="e">
        <f t="shared" si="5"/>
        <v>#N/A</v>
      </c>
    </row>
    <row r="14" spans="1:12" x14ac:dyDescent="0.25">
      <c r="A14" s="1" t="s">
        <v>114</v>
      </c>
    </row>
    <row r="15" spans="1:12" x14ac:dyDescent="0.25">
      <c r="A15" s="49" t="s">
        <v>81</v>
      </c>
      <c r="B15" s="50"/>
      <c r="C15" s="49" t="s">
        <v>123</v>
      </c>
    </row>
    <row r="16" spans="1:12" x14ac:dyDescent="0.25">
      <c r="A16" s="49" t="s">
        <v>115</v>
      </c>
      <c r="B16" s="50" t="s">
        <v>119</v>
      </c>
      <c r="C16" s="49">
        <v>0.5</v>
      </c>
    </row>
    <row r="17" spans="1:7" x14ac:dyDescent="0.25">
      <c r="A17" s="49" t="s">
        <v>116</v>
      </c>
      <c r="B17" s="50" t="s">
        <v>120</v>
      </c>
      <c r="C17" s="49">
        <v>1</v>
      </c>
    </row>
    <row r="18" spans="1:7" x14ac:dyDescent="0.25">
      <c r="A18" s="49" t="s">
        <v>117</v>
      </c>
      <c r="B18" s="50" t="s">
        <v>121</v>
      </c>
      <c r="C18" s="49">
        <v>0.1</v>
      </c>
    </row>
    <row r="19" spans="1:7" x14ac:dyDescent="0.25">
      <c r="A19" s="49" t="s">
        <v>118</v>
      </c>
      <c r="B19" s="50" t="s">
        <v>122</v>
      </c>
      <c r="C19" s="49">
        <v>0.6</v>
      </c>
    </row>
    <row r="21" spans="1:7" x14ac:dyDescent="0.25">
      <c r="A21" s="1" t="s">
        <v>124</v>
      </c>
    </row>
    <row r="22" spans="1:7" ht="30" x14ac:dyDescent="0.25">
      <c r="A22" s="49"/>
      <c r="B22" s="50" t="s">
        <v>127</v>
      </c>
      <c r="C22" s="49" t="s">
        <v>128</v>
      </c>
      <c r="D22" s="49" t="s">
        <v>129</v>
      </c>
      <c r="E22" s="49" t="s">
        <v>130</v>
      </c>
      <c r="F22" s="49" t="s">
        <v>131</v>
      </c>
    </row>
    <row r="23" spans="1:7" x14ac:dyDescent="0.25">
      <c r="A23" s="49" t="s">
        <v>125</v>
      </c>
      <c r="B23" s="50">
        <v>6</v>
      </c>
      <c r="C23" s="50">
        <v>1</v>
      </c>
      <c r="D23" s="50">
        <v>5</v>
      </c>
      <c r="E23" s="49">
        <f>C23/B23*100</f>
        <v>16.666666666666664</v>
      </c>
      <c r="F23" s="52">
        <v>23.1</v>
      </c>
      <c r="G23" s="1">
        <f>D23/B23*100</f>
        <v>83.333333333333343</v>
      </c>
    </row>
    <row r="24" spans="1:7" x14ac:dyDescent="0.25">
      <c r="A24" s="49" t="s">
        <v>126</v>
      </c>
      <c r="B24" s="50">
        <v>3</v>
      </c>
      <c r="C24" s="50">
        <v>2</v>
      </c>
      <c r="D24" s="50">
        <v>1</v>
      </c>
      <c r="E24" s="49">
        <f>C24/B24*100</f>
        <v>66.666666666666657</v>
      </c>
      <c r="F24" s="49">
        <v>24.1</v>
      </c>
      <c r="G24" s="1">
        <f>D24/B24*100</f>
        <v>33.333333333333329</v>
      </c>
    </row>
  </sheetData>
  <mergeCells count="8">
    <mergeCell ref="K2:K3"/>
    <mergeCell ref="D2:G2"/>
    <mergeCell ref="H2:H3"/>
    <mergeCell ref="A2:A3"/>
    <mergeCell ref="B2:B3"/>
    <mergeCell ref="C2:C3"/>
    <mergeCell ref="I2:I3"/>
    <mergeCell ref="J2:J3"/>
  </mergeCells>
  <pageMargins left="0.7" right="0.7" top="0.75" bottom="0.75" header="0.3" footer="0.3"/>
  <pageSetup paperSize="9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workbookViewId="0">
      <selection sqref="A1:XFD1048576"/>
    </sheetView>
  </sheetViews>
  <sheetFormatPr defaultRowHeight="15" x14ac:dyDescent="0.25"/>
  <cols>
    <col min="2" max="2" width="10.7109375" style="53" bestFit="1" customWidth="1"/>
    <col min="3" max="3" width="9.7109375" bestFit="1" customWidth="1"/>
    <col min="4" max="4" width="10.85546875" bestFit="1" customWidth="1"/>
    <col min="5" max="5" width="9.140625" style="55"/>
    <col min="6" max="6" width="12.140625" bestFit="1" customWidth="1"/>
    <col min="7" max="7" width="16.28515625" style="59" bestFit="1" customWidth="1"/>
  </cols>
  <sheetData>
    <row r="1" spans="1:7" x14ac:dyDescent="0.25">
      <c r="A1" t="s">
        <v>133</v>
      </c>
    </row>
    <row r="2" spans="1:7" x14ac:dyDescent="0.25">
      <c r="A2" s="56" t="s">
        <v>49</v>
      </c>
      <c r="B2" s="57" t="s">
        <v>134</v>
      </c>
      <c r="C2" s="56" t="s">
        <v>5</v>
      </c>
      <c r="D2" s="56" t="s">
        <v>50</v>
      </c>
      <c r="E2" s="58" t="s">
        <v>135</v>
      </c>
      <c r="F2" s="56" t="s">
        <v>53</v>
      </c>
      <c r="G2" s="60" t="s">
        <v>136</v>
      </c>
    </row>
    <row r="3" spans="1:7" x14ac:dyDescent="0.25">
      <c r="A3" s="56">
        <v>3</v>
      </c>
      <c r="B3" s="57">
        <v>40345</v>
      </c>
      <c r="C3" s="56" t="s">
        <v>139</v>
      </c>
      <c r="D3" s="56">
        <v>15</v>
      </c>
      <c r="E3" s="58">
        <v>300</v>
      </c>
      <c r="F3" s="58">
        <f t="shared" ref="F3:F8" si="0">D3*E3</f>
        <v>4500</v>
      </c>
      <c r="G3" s="60">
        <f t="shared" ref="G3:G8" si="1">F3*20500</f>
        <v>92250000</v>
      </c>
    </row>
    <row r="4" spans="1:7" x14ac:dyDescent="0.25">
      <c r="A4" s="56">
        <v>4</v>
      </c>
      <c r="B4" s="57">
        <v>40347</v>
      </c>
      <c r="C4" s="56" t="s">
        <v>140</v>
      </c>
      <c r="D4" s="56">
        <v>8</v>
      </c>
      <c r="E4" s="58">
        <v>400</v>
      </c>
      <c r="F4" s="58">
        <f t="shared" si="0"/>
        <v>3200</v>
      </c>
      <c r="G4" s="60">
        <f t="shared" si="1"/>
        <v>65600000</v>
      </c>
    </row>
    <row r="5" spans="1:7" x14ac:dyDescent="0.25">
      <c r="A5" s="56">
        <v>5</v>
      </c>
      <c r="B5" s="57">
        <v>40370</v>
      </c>
      <c r="C5" s="56" t="s">
        <v>141</v>
      </c>
      <c r="D5" s="56">
        <v>9</v>
      </c>
      <c r="E5" s="58">
        <v>300</v>
      </c>
      <c r="F5" s="58">
        <f t="shared" si="0"/>
        <v>2700</v>
      </c>
      <c r="G5" s="60">
        <f t="shared" si="1"/>
        <v>55350000</v>
      </c>
    </row>
    <row r="6" spans="1:7" x14ac:dyDescent="0.25">
      <c r="A6" s="56">
        <v>6</v>
      </c>
      <c r="B6" s="57">
        <v>40370</v>
      </c>
      <c r="C6" s="56" t="s">
        <v>142</v>
      </c>
      <c r="D6" s="56">
        <v>25</v>
      </c>
      <c r="E6" s="58">
        <v>300</v>
      </c>
      <c r="F6" s="58">
        <f t="shared" si="0"/>
        <v>7500</v>
      </c>
      <c r="G6" s="60">
        <f t="shared" si="1"/>
        <v>153750000</v>
      </c>
    </row>
    <row r="7" spans="1:7" x14ac:dyDescent="0.25">
      <c r="A7" s="56">
        <v>2</v>
      </c>
      <c r="B7" s="57">
        <v>40345</v>
      </c>
      <c r="C7" s="56" t="s">
        <v>138</v>
      </c>
      <c r="D7" s="56">
        <v>20</v>
      </c>
      <c r="E7" s="58">
        <v>100</v>
      </c>
      <c r="F7" s="58">
        <f t="shared" si="0"/>
        <v>2000</v>
      </c>
      <c r="G7" s="60">
        <f t="shared" si="1"/>
        <v>41000000</v>
      </c>
    </row>
    <row r="8" spans="1:7" x14ac:dyDescent="0.25">
      <c r="A8" s="56">
        <v>1</v>
      </c>
      <c r="B8" s="57">
        <v>40207</v>
      </c>
      <c r="C8" s="56" t="s">
        <v>137</v>
      </c>
      <c r="D8" s="56">
        <v>10</v>
      </c>
      <c r="E8" s="58">
        <v>200</v>
      </c>
      <c r="F8" s="58">
        <f t="shared" si="0"/>
        <v>2000</v>
      </c>
      <c r="G8" s="60">
        <f t="shared" si="1"/>
        <v>41000000</v>
      </c>
    </row>
  </sheetData>
  <sortState ref="A3:G8">
    <sortCondition ref="C3:C8"/>
  </sortState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32"/>
  <sheetViews>
    <sheetView workbookViewId="0">
      <selection activeCell="E27" sqref="E27:H27"/>
    </sheetView>
  </sheetViews>
  <sheetFormatPr defaultRowHeight="15" x14ac:dyDescent="0.25"/>
  <cols>
    <col min="1" max="1" width="9.140625" style="62"/>
    <col min="2" max="2" width="17.85546875" bestFit="1" customWidth="1"/>
    <col min="3" max="3" width="18.7109375" hidden="1" customWidth="1"/>
    <col min="4" max="5" width="18.7109375" customWidth="1"/>
    <col min="6" max="7" width="23" hidden="1" customWidth="1"/>
    <col min="8" max="8" width="17.85546875" bestFit="1" customWidth="1"/>
    <col min="9" max="9" width="17.5703125" bestFit="1" customWidth="1"/>
    <col min="12" max="12" width="12.42578125" bestFit="1" customWidth="1"/>
  </cols>
  <sheetData>
    <row r="1" spans="1:13" x14ac:dyDescent="0.25">
      <c r="A1" s="62" t="s">
        <v>198</v>
      </c>
    </row>
    <row r="2" spans="1:13" hidden="1" x14ac:dyDescent="0.25">
      <c r="A2" s="65" t="s">
        <v>49</v>
      </c>
      <c r="B2" s="56" t="s">
        <v>199</v>
      </c>
      <c r="C2" s="56" t="s">
        <v>200</v>
      </c>
      <c r="D2" s="56" t="s">
        <v>200</v>
      </c>
      <c r="E2" s="56" t="s">
        <v>261</v>
      </c>
      <c r="F2" s="56"/>
      <c r="G2" s="56"/>
      <c r="H2" s="56" t="s">
        <v>201</v>
      </c>
      <c r="I2" s="56" t="s">
        <v>202</v>
      </c>
      <c r="J2" s="56" t="s">
        <v>96</v>
      </c>
      <c r="K2" s="56"/>
      <c r="L2" s="56" t="s">
        <v>203</v>
      </c>
      <c r="M2" s="56" t="s">
        <v>204</v>
      </c>
    </row>
    <row r="3" spans="1:13" x14ac:dyDescent="0.25">
      <c r="A3" s="65" t="s">
        <v>157</v>
      </c>
      <c r="B3" s="56" t="s">
        <v>206</v>
      </c>
      <c r="C3" s="56" t="s">
        <v>216</v>
      </c>
      <c r="D3" s="56" t="str">
        <f t="shared" ref="D3:D17" si="0">LEFT(C3,(LEN(C3)-LEN(E3)))</f>
        <v xml:space="preserve">LÊ THỊ </v>
      </c>
      <c r="E3" s="56" t="s">
        <v>244</v>
      </c>
      <c r="F3" s="56"/>
      <c r="G3" s="56"/>
      <c r="H3" s="56" t="str">
        <f t="shared" ref="H3:H17" si="1">VLOOKUP(LEFT(B3,1),$A$21:$B$24,2,0)</f>
        <v>ĐINH TIÊN HOÀNG</v>
      </c>
      <c r="I3" s="56" t="str">
        <f t="shared" ref="I3:I17" si="2">HLOOKUP(RIGHT(B3,1),$I$23:$L$24,2,0)</f>
        <v xml:space="preserve">VĂN </v>
      </c>
      <c r="J3" s="56">
        <v>9</v>
      </c>
      <c r="K3" s="56"/>
      <c r="L3" s="56" t="str">
        <f t="shared" ref="L3:L17" si="3">IF(AND(J3&lt;10,J3&gt;=9),"GIỎI",IF(AND(J3&lt;9,J3&gt;=7),"KHÁ",IF(AND(J3&lt;7,J3&gt;=5),"TRUNG BÌNH ",IF(AND(J3&gt;0,J3&lt;=5),"KÉM","GIỎI"))))</f>
        <v>GIỎI</v>
      </c>
      <c r="M3" s="56">
        <f t="shared" ref="M3:M17" si="4">RANK(J3,$J$3:$J$17)</f>
        <v>1</v>
      </c>
    </row>
    <row r="4" spans="1:13" x14ac:dyDescent="0.25">
      <c r="A4" s="65" t="s">
        <v>164</v>
      </c>
      <c r="B4" s="56" t="s">
        <v>211</v>
      </c>
      <c r="C4" s="56" t="s">
        <v>253</v>
      </c>
      <c r="D4" s="56" t="str">
        <f t="shared" si="0"/>
        <v xml:space="preserve">NGUYỄN BÍCH </v>
      </c>
      <c r="E4" s="56" t="s">
        <v>254</v>
      </c>
      <c r="F4" s="56"/>
      <c r="G4" s="56"/>
      <c r="H4" s="56" t="str">
        <f t="shared" si="1"/>
        <v>ĐINH TIÊN HOÀNG</v>
      </c>
      <c r="I4" s="56" t="str">
        <f t="shared" si="2"/>
        <v>NGOẠI NGỮ</v>
      </c>
      <c r="J4" s="56">
        <v>9</v>
      </c>
      <c r="K4" s="56"/>
      <c r="L4" s="56" t="str">
        <f t="shared" si="3"/>
        <v>GIỎI</v>
      </c>
      <c r="M4" s="56">
        <f t="shared" si="4"/>
        <v>1</v>
      </c>
    </row>
    <row r="5" spans="1:13" hidden="1" x14ac:dyDescent="0.25">
      <c r="A5" s="65" t="s">
        <v>168</v>
      </c>
      <c r="B5" s="56" t="s">
        <v>211</v>
      </c>
      <c r="C5" s="56" t="s">
        <v>225</v>
      </c>
      <c r="D5" s="56" t="str">
        <f t="shared" si="0"/>
        <v xml:space="preserve">HOÀNG THỊ </v>
      </c>
      <c r="E5" s="56" t="s">
        <v>250</v>
      </c>
      <c r="F5" s="56"/>
      <c r="G5" s="56"/>
      <c r="H5" s="56" t="str">
        <f t="shared" si="1"/>
        <v>ĐINH TIÊN HOÀNG</v>
      </c>
      <c r="I5" s="56" t="str">
        <f t="shared" si="2"/>
        <v>NGOẠI NGỮ</v>
      </c>
      <c r="J5" s="56">
        <v>6</v>
      </c>
      <c r="K5" s="56"/>
      <c r="L5" s="56" t="str">
        <f t="shared" si="3"/>
        <v xml:space="preserve">TRUNG BÌNH </v>
      </c>
      <c r="M5" s="56">
        <f t="shared" si="4"/>
        <v>9</v>
      </c>
    </row>
    <row r="6" spans="1:13" hidden="1" x14ac:dyDescent="0.25">
      <c r="A6" s="65" t="s">
        <v>169</v>
      </c>
      <c r="B6" s="56" t="s">
        <v>212</v>
      </c>
      <c r="C6" s="56" t="s">
        <v>226</v>
      </c>
      <c r="D6" s="56" t="str">
        <f t="shared" si="0"/>
        <v xml:space="preserve">LÊ VĂN </v>
      </c>
      <c r="E6" s="56" t="s">
        <v>251</v>
      </c>
      <c r="F6" s="56"/>
      <c r="G6" s="56"/>
      <c r="H6" s="56" t="str">
        <f t="shared" si="1"/>
        <v>ĐINH TIÊN HOÀNG</v>
      </c>
      <c r="I6" s="56" t="str">
        <f t="shared" si="2"/>
        <v xml:space="preserve">VĂN </v>
      </c>
      <c r="J6" s="56">
        <v>5</v>
      </c>
      <c r="K6" s="56"/>
      <c r="L6" s="56" t="str">
        <f t="shared" si="3"/>
        <v xml:space="preserve">TRUNG BÌNH </v>
      </c>
      <c r="M6" s="56">
        <f t="shared" si="4"/>
        <v>12</v>
      </c>
    </row>
    <row r="7" spans="1:13" x14ac:dyDescent="0.25">
      <c r="A7" s="65" t="s">
        <v>163</v>
      </c>
      <c r="B7" s="56" t="s">
        <v>210</v>
      </c>
      <c r="C7" s="56" t="s">
        <v>221</v>
      </c>
      <c r="D7" s="56" t="str">
        <f t="shared" si="0"/>
        <v xml:space="preserve">HOÀNG VĂN </v>
      </c>
      <c r="E7" s="56" t="s">
        <v>247</v>
      </c>
      <c r="F7" s="56"/>
      <c r="G7" s="56"/>
      <c r="H7" s="56" t="str">
        <f t="shared" si="1"/>
        <v>HÒA BÌNH</v>
      </c>
      <c r="I7" s="56" t="str">
        <f t="shared" si="2"/>
        <v>TOÁN</v>
      </c>
      <c r="J7" s="56">
        <v>8</v>
      </c>
      <c r="K7" s="56"/>
      <c r="L7" s="56" t="str">
        <f t="shared" si="3"/>
        <v>KHÁ</v>
      </c>
      <c r="M7" s="56">
        <f t="shared" si="4"/>
        <v>4</v>
      </c>
    </row>
    <row r="8" spans="1:13" hidden="1" x14ac:dyDescent="0.25">
      <c r="A8" s="65" t="s">
        <v>167</v>
      </c>
      <c r="B8" s="56" t="s">
        <v>205</v>
      </c>
      <c r="C8" s="56" t="s">
        <v>224</v>
      </c>
      <c r="D8" s="56" t="str">
        <f t="shared" si="0"/>
        <v xml:space="preserve">NGUYỄN MINH </v>
      </c>
      <c r="E8" s="56" t="s">
        <v>249</v>
      </c>
      <c r="F8" s="56"/>
      <c r="G8" s="56"/>
      <c r="H8" s="56" t="str">
        <f t="shared" si="1"/>
        <v>HÒA BÌNH</v>
      </c>
      <c r="I8" s="56" t="str">
        <f t="shared" si="2"/>
        <v>TOÁN</v>
      </c>
      <c r="J8" s="56">
        <v>7</v>
      </c>
      <c r="K8" s="56"/>
      <c r="L8" s="56" t="str">
        <f t="shared" si="3"/>
        <v>KHÁ</v>
      </c>
      <c r="M8" s="56">
        <f t="shared" si="4"/>
        <v>6</v>
      </c>
    </row>
    <row r="9" spans="1:13" hidden="1" x14ac:dyDescent="0.25">
      <c r="A9" s="65" t="s">
        <v>156</v>
      </c>
      <c r="B9" s="56" t="s">
        <v>205</v>
      </c>
      <c r="C9" s="56" t="s">
        <v>215</v>
      </c>
      <c r="D9" s="56" t="str">
        <f t="shared" si="0"/>
        <v xml:space="preserve">NGUYỄN VĂN </v>
      </c>
      <c r="E9" s="56" t="s">
        <v>22</v>
      </c>
      <c r="F9" s="56"/>
      <c r="G9" s="56"/>
      <c r="H9" s="56" t="str">
        <f t="shared" si="1"/>
        <v>HÒA BÌNH</v>
      </c>
      <c r="I9" s="56" t="str">
        <f t="shared" si="2"/>
        <v>TOÁN</v>
      </c>
      <c r="J9" s="56">
        <v>5</v>
      </c>
      <c r="K9" s="56"/>
      <c r="L9" s="56" t="str">
        <f t="shared" si="3"/>
        <v xml:space="preserve">TRUNG BÌNH </v>
      </c>
      <c r="M9" s="56">
        <f t="shared" si="4"/>
        <v>12</v>
      </c>
    </row>
    <row r="10" spans="1:13" hidden="1" x14ac:dyDescent="0.25">
      <c r="A10" s="65" t="s">
        <v>158</v>
      </c>
      <c r="B10" s="56" t="s">
        <v>205</v>
      </c>
      <c r="C10" s="56" t="s">
        <v>217</v>
      </c>
      <c r="D10" s="56" t="str">
        <f t="shared" si="0"/>
        <v xml:space="preserve">HOÀNG ANH </v>
      </c>
      <c r="E10" s="56" t="s">
        <v>28</v>
      </c>
      <c r="F10" s="56"/>
      <c r="G10" s="56"/>
      <c r="H10" s="56" t="str">
        <f t="shared" si="1"/>
        <v>HÒA BÌNH</v>
      </c>
      <c r="I10" s="56" t="str">
        <f t="shared" si="2"/>
        <v>TOÁN</v>
      </c>
      <c r="J10" s="56">
        <v>5</v>
      </c>
      <c r="K10" s="56"/>
      <c r="L10" s="56" t="str">
        <f t="shared" si="3"/>
        <v xml:space="preserve">TRUNG BÌNH </v>
      </c>
      <c r="M10" s="56">
        <f t="shared" si="4"/>
        <v>12</v>
      </c>
    </row>
    <row r="11" spans="1:13" x14ac:dyDescent="0.25">
      <c r="A11" s="65" t="s">
        <v>159</v>
      </c>
      <c r="B11" s="56" t="s">
        <v>207</v>
      </c>
      <c r="C11" s="56" t="s">
        <v>218</v>
      </c>
      <c r="D11" s="56" t="str">
        <f t="shared" si="0"/>
        <v xml:space="preserve">LÊ HỮU </v>
      </c>
      <c r="E11" s="56" t="s">
        <v>255</v>
      </c>
      <c r="F11" s="56"/>
      <c r="G11" s="56"/>
      <c r="H11" s="56" t="str">
        <f t="shared" si="1"/>
        <v>NGUYỄN DU</v>
      </c>
      <c r="I11" s="56" t="str">
        <f t="shared" si="2"/>
        <v>NGOẠI NGỮ</v>
      </c>
      <c r="J11" s="56">
        <v>9</v>
      </c>
      <c r="K11" s="56"/>
      <c r="L11" s="56" t="str">
        <f t="shared" si="3"/>
        <v>GIỎI</v>
      </c>
      <c r="M11" s="56">
        <f t="shared" si="4"/>
        <v>1</v>
      </c>
    </row>
    <row r="12" spans="1:13" hidden="1" x14ac:dyDescent="0.25">
      <c r="A12" s="65" t="s">
        <v>162</v>
      </c>
      <c r="B12" s="56" t="s">
        <v>207</v>
      </c>
      <c r="C12" s="56" t="s">
        <v>220</v>
      </c>
      <c r="D12" s="56" t="str">
        <f t="shared" si="0"/>
        <v xml:space="preserve">TÔ BÁ </v>
      </c>
      <c r="E12" s="56" t="s">
        <v>246</v>
      </c>
      <c r="F12" s="56"/>
      <c r="G12" s="56"/>
      <c r="H12" s="56" t="str">
        <f t="shared" si="1"/>
        <v>NGUYỄN DU</v>
      </c>
      <c r="I12" s="56" t="str">
        <f t="shared" si="2"/>
        <v>NGOẠI NGỮ</v>
      </c>
      <c r="J12" s="56">
        <v>6</v>
      </c>
      <c r="K12" s="56"/>
      <c r="L12" s="56" t="str">
        <f t="shared" si="3"/>
        <v xml:space="preserve">TRUNG BÌNH </v>
      </c>
      <c r="M12" s="56">
        <f t="shared" si="4"/>
        <v>9</v>
      </c>
    </row>
    <row r="13" spans="1:13" hidden="1" x14ac:dyDescent="0.25">
      <c r="A13" s="65" t="s">
        <v>165</v>
      </c>
      <c r="B13" s="56" t="s">
        <v>214</v>
      </c>
      <c r="C13" s="56" t="s">
        <v>222</v>
      </c>
      <c r="D13" s="56" t="str">
        <f t="shared" si="0"/>
        <v xml:space="preserve">PHÙNG VĂN </v>
      </c>
      <c r="E13" s="56" t="s">
        <v>257</v>
      </c>
      <c r="F13" s="56"/>
      <c r="G13" s="56"/>
      <c r="H13" s="56" t="str">
        <f t="shared" si="1"/>
        <v>NGUYỄN DU</v>
      </c>
      <c r="I13" s="56" t="str">
        <f t="shared" si="2"/>
        <v>TOÁN</v>
      </c>
      <c r="J13" s="56">
        <v>6</v>
      </c>
      <c r="K13" s="56"/>
      <c r="L13" s="56" t="str">
        <f t="shared" si="3"/>
        <v xml:space="preserve">TRUNG BÌNH </v>
      </c>
      <c r="M13" s="56">
        <f t="shared" si="4"/>
        <v>9</v>
      </c>
    </row>
    <row r="14" spans="1:13" x14ac:dyDescent="0.25">
      <c r="A14" s="65" t="s">
        <v>160</v>
      </c>
      <c r="B14" s="56" t="s">
        <v>208</v>
      </c>
      <c r="C14" s="56" t="s">
        <v>258</v>
      </c>
      <c r="D14" s="56" t="str">
        <f t="shared" si="0"/>
        <v xml:space="preserve">TRẦN MINH </v>
      </c>
      <c r="E14" s="56" t="s">
        <v>256</v>
      </c>
      <c r="F14" s="56"/>
      <c r="G14" s="56"/>
      <c r="H14" s="56" t="str">
        <f t="shared" si="1"/>
        <v>VÕ TRƯỜNG TOẢN</v>
      </c>
      <c r="I14" s="56" t="str">
        <f t="shared" si="2"/>
        <v>TOÁN</v>
      </c>
      <c r="J14" s="56">
        <v>8</v>
      </c>
      <c r="K14" s="56"/>
      <c r="L14" s="56" t="str">
        <f t="shared" si="3"/>
        <v>KHÁ</v>
      </c>
      <c r="M14" s="56">
        <f t="shared" si="4"/>
        <v>4</v>
      </c>
    </row>
    <row r="15" spans="1:13" hidden="1" x14ac:dyDescent="0.25">
      <c r="A15" s="65" t="s">
        <v>161</v>
      </c>
      <c r="B15" s="56" t="s">
        <v>209</v>
      </c>
      <c r="C15" s="56" t="s">
        <v>219</v>
      </c>
      <c r="D15" s="56" t="str">
        <f t="shared" si="0"/>
        <v xml:space="preserve">LÊ THỊ </v>
      </c>
      <c r="E15" s="56" t="s">
        <v>245</v>
      </c>
      <c r="F15" s="56"/>
      <c r="G15" s="56"/>
      <c r="H15" s="56" t="str">
        <f t="shared" si="1"/>
        <v>VÕ TRƯỜNG TOẢN</v>
      </c>
      <c r="I15" s="56" t="str">
        <f t="shared" si="2"/>
        <v xml:space="preserve">VĂN </v>
      </c>
      <c r="J15" s="56">
        <v>7</v>
      </c>
      <c r="K15" s="56"/>
      <c r="L15" s="56" t="str">
        <f t="shared" si="3"/>
        <v>KHÁ</v>
      </c>
      <c r="M15" s="56">
        <f t="shared" si="4"/>
        <v>6</v>
      </c>
    </row>
    <row r="16" spans="1:13" hidden="1" x14ac:dyDescent="0.25">
      <c r="A16" s="65" t="s">
        <v>170</v>
      </c>
      <c r="B16" s="56" t="s">
        <v>213</v>
      </c>
      <c r="C16" s="56" t="s">
        <v>227</v>
      </c>
      <c r="D16" s="56" t="str">
        <f t="shared" si="0"/>
        <v xml:space="preserve">TÔ KIỀU NGA </v>
      </c>
      <c r="E16" s="56" t="s">
        <v>252</v>
      </c>
      <c r="F16" s="56"/>
      <c r="G16" s="56"/>
      <c r="H16" s="56" t="str">
        <f t="shared" si="1"/>
        <v>VÕ TRƯỜNG TOẢN</v>
      </c>
      <c r="I16" s="56" t="str">
        <f t="shared" si="2"/>
        <v>TOÁN</v>
      </c>
      <c r="J16" s="56">
        <v>7</v>
      </c>
      <c r="K16" s="56"/>
      <c r="L16" s="56" t="str">
        <f t="shared" si="3"/>
        <v>KHÁ</v>
      </c>
      <c r="M16" s="56">
        <f t="shared" si="4"/>
        <v>6</v>
      </c>
    </row>
    <row r="17" spans="1:14" hidden="1" x14ac:dyDescent="0.25">
      <c r="A17" s="65" t="s">
        <v>166</v>
      </c>
      <c r="B17" s="56" t="s">
        <v>213</v>
      </c>
      <c r="C17" s="56" t="s">
        <v>223</v>
      </c>
      <c r="D17" s="56" t="str">
        <f t="shared" si="0"/>
        <v xml:space="preserve">TRẦN THỊ </v>
      </c>
      <c r="E17" s="56" t="s">
        <v>248</v>
      </c>
      <c r="F17" s="56"/>
      <c r="G17" s="56"/>
      <c r="H17" s="56" t="str">
        <f t="shared" si="1"/>
        <v>VÕ TRƯỜNG TOẢN</v>
      </c>
      <c r="I17" s="56" t="str">
        <f t="shared" si="2"/>
        <v>TOÁN</v>
      </c>
      <c r="J17" s="56">
        <v>4</v>
      </c>
      <c r="K17" s="56"/>
      <c r="L17" s="56" t="str">
        <f t="shared" si="3"/>
        <v>KÉM</v>
      </c>
      <c r="M17" s="56">
        <f t="shared" si="4"/>
        <v>15</v>
      </c>
    </row>
    <row r="18" spans="1:14" x14ac:dyDescent="0.25">
      <c r="M18" s="56"/>
    </row>
    <row r="19" spans="1:14" x14ac:dyDescent="0.25">
      <c r="A19" s="86" t="s">
        <v>228</v>
      </c>
      <c r="B19" s="86"/>
      <c r="H19" s="56" t="s">
        <v>234</v>
      </c>
      <c r="I19" s="56">
        <v>0</v>
      </c>
      <c r="J19" s="56">
        <v>5</v>
      </c>
      <c r="K19" s="56"/>
      <c r="L19" s="56">
        <v>7</v>
      </c>
      <c r="M19" s="56">
        <v>9</v>
      </c>
      <c r="N19" s="56">
        <v>10</v>
      </c>
    </row>
    <row r="20" spans="1:14" x14ac:dyDescent="0.25">
      <c r="A20" s="65" t="s">
        <v>229</v>
      </c>
      <c r="B20" s="56" t="s">
        <v>201</v>
      </c>
      <c r="H20" s="56" t="s">
        <v>203</v>
      </c>
      <c r="I20" s="56" t="s">
        <v>235</v>
      </c>
      <c r="J20" s="56" t="s">
        <v>236</v>
      </c>
      <c r="K20" s="56"/>
      <c r="L20" s="56" t="s">
        <v>237</v>
      </c>
      <c r="M20" s="56" t="s">
        <v>238</v>
      </c>
      <c r="N20" s="56" t="s">
        <v>239</v>
      </c>
    </row>
    <row r="21" spans="1:14" x14ac:dyDescent="0.25">
      <c r="A21" s="65" t="s">
        <v>83</v>
      </c>
      <c r="B21" s="56" t="s">
        <v>230</v>
      </c>
    </row>
    <row r="22" spans="1:14" x14ac:dyDescent="0.25">
      <c r="A22" s="65" t="s">
        <v>69</v>
      </c>
      <c r="B22" s="56" t="s">
        <v>231</v>
      </c>
      <c r="H22" s="87" t="s">
        <v>240</v>
      </c>
      <c r="I22" s="87"/>
      <c r="J22" s="87"/>
      <c r="K22" s="87"/>
      <c r="L22" s="87"/>
    </row>
    <row r="23" spans="1:14" x14ac:dyDescent="0.25">
      <c r="A23" s="65" t="s">
        <v>71</v>
      </c>
      <c r="B23" s="56" t="s">
        <v>232</v>
      </c>
      <c r="H23" s="56" t="s">
        <v>241</v>
      </c>
      <c r="I23" s="56" t="s">
        <v>242</v>
      </c>
      <c r="J23" s="56" t="s">
        <v>72</v>
      </c>
      <c r="K23" s="56"/>
      <c r="L23" s="56" t="s">
        <v>73</v>
      </c>
    </row>
    <row r="24" spans="1:14" x14ac:dyDescent="0.25">
      <c r="A24" s="65" t="s">
        <v>73</v>
      </c>
      <c r="B24" s="56" t="s">
        <v>233</v>
      </c>
      <c r="H24" s="56" t="s">
        <v>202</v>
      </c>
      <c r="I24" s="56" t="s">
        <v>259</v>
      </c>
      <c r="J24" s="56" t="s">
        <v>260</v>
      </c>
      <c r="K24" s="56"/>
      <c r="L24" s="56" t="s">
        <v>243</v>
      </c>
    </row>
    <row r="27" spans="1:14" x14ac:dyDescent="0.25">
      <c r="E27" s="56" t="s">
        <v>259</v>
      </c>
      <c r="F27" s="56" t="s">
        <v>260</v>
      </c>
      <c r="G27" s="56"/>
      <c r="H27" s="56" t="s">
        <v>243</v>
      </c>
    </row>
    <row r="28" spans="1:14" x14ac:dyDescent="0.25">
      <c r="D28" s="56" t="s">
        <v>201</v>
      </c>
    </row>
    <row r="29" spans="1:14" x14ac:dyDescent="0.25">
      <c r="D29" s="56" t="s">
        <v>230</v>
      </c>
    </row>
    <row r="30" spans="1:14" x14ac:dyDescent="0.25">
      <c r="D30" s="56" t="s">
        <v>231</v>
      </c>
    </row>
    <row r="31" spans="1:14" x14ac:dyDescent="0.25">
      <c r="D31" s="56" t="s">
        <v>232</v>
      </c>
    </row>
    <row r="32" spans="1:14" x14ac:dyDescent="0.25">
      <c r="D32" s="56" t="s">
        <v>233</v>
      </c>
    </row>
  </sheetData>
  <autoFilter ref="A1:N17">
    <filterColumn colId="12">
      <filters>
        <filter val="1"/>
        <filter val="4"/>
      </filters>
    </filterColumn>
  </autoFilter>
  <mergeCells count="2">
    <mergeCell ref="A19:B19"/>
    <mergeCell ref="H22:L22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14" workbookViewId="0">
      <selection activeCell="E27" sqref="E27"/>
    </sheetView>
  </sheetViews>
  <sheetFormatPr defaultRowHeight="15" x14ac:dyDescent="0.25"/>
  <cols>
    <col min="2" max="2" width="14" bestFit="1" customWidth="1"/>
    <col min="3" max="3" width="20.5703125" bestFit="1" customWidth="1"/>
    <col min="4" max="4" width="9.5703125" bestFit="1" customWidth="1"/>
    <col min="5" max="5" width="11.85546875" bestFit="1" customWidth="1"/>
    <col min="6" max="6" width="12.42578125" bestFit="1" customWidth="1"/>
    <col min="7" max="7" width="11.140625" bestFit="1" customWidth="1"/>
  </cols>
  <sheetData>
    <row r="1" spans="1:8" x14ac:dyDescent="0.25">
      <c r="A1" t="s">
        <v>262</v>
      </c>
    </row>
    <row r="2" spans="1:8" x14ac:dyDescent="0.25">
      <c r="C2" s="95" t="s">
        <v>263</v>
      </c>
      <c r="D2" s="96"/>
      <c r="E2" s="96"/>
      <c r="F2" s="97"/>
    </row>
    <row r="3" spans="1:8" x14ac:dyDescent="0.25">
      <c r="C3" s="56" t="s">
        <v>264</v>
      </c>
      <c r="D3" s="56" t="s">
        <v>72</v>
      </c>
      <c r="E3" s="56" t="s">
        <v>85</v>
      </c>
      <c r="F3" s="56" t="s">
        <v>69</v>
      </c>
    </row>
    <row r="4" spans="1:8" x14ac:dyDescent="0.25">
      <c r="C4" s="56" t="s">
        <v>265</v>
      </c>
      <c r="D4" s="56" t="s">
        <v>260</v>
      </c>
      <c r="E4" s="56" t="s">
        <v>98</v>
      </c>
      <c r="F4" s="56" t="s">
        <v>99</v>
      </c>
    </row>
    <row r="5" spans="1:8" x14ac:dyDescent="0.25">
      <c r="C5" s="56" t="s">
        <v>267</v>
      </c>
      <c r="D5" s="56">
        <v>25</v>
      </c>
      <c r="E5" s="56">
        <v>24</v>
      </c>
      <c r="F5" s="56">
        <v>22</v>
      </c>
    </row>
    <row r="7" spans="1:8" x14ac:dyDescent="0.25">
      <c r="A7" s="56" t="s">
        <v>49</v>
      </c>
      <c r="B7" s="56" t="s">
        <v>268</v>
      </c>
      <c r="C7" s="56" t="s">
        <v>269</v>
      </c>
      <c r="D7" s="56" t="s">
        <v>261</v>
      </c>
      <c r="E7" s="56" t="s">
        <v>270</v>
      </c>
      <c r="F7" s="56" t="s">
        <v>271</v>
      </c>
      <c r="G7" s="56" t="s">
        <v>272</v>
      </c>
      <c r="H7" s="56" t="s">
        <v>273</v>
      </c>
    </row>
    <row r="8" spans="1:8" x14ac:dyDescent="0.25">
      <c r="A8" s="56">
        <v>1</v>
      </c>
      <c r="B8" s="56" t="s">
        <v>274</v>
      </c>
      <c r="C8" s="56" t="s">
        <v>285</v>
      </c>
      <c r="D8" s="56" t="s">
        <v>286</v>
      </c>
      <c r="E8" s="56" t="str">
        <f>IF(MID(B8,2,1)="A","ƯU TIÊN 1",IF(MID(B8,2,1)="B","ƯU TIÊN 2"," "))</f>
        <v>ƯU TIÊN 1</v>
      </c>
      <c r="F8" s="56" t="s">
        <v>260</v>
      </c>
      <c r="G8" s="56">
        <v>20</v>
      </c>
      <c r="H8" s="56" t="str">
        <f>IF(G8&gt;=HLOOKUP(F8,$D$4:$F$5,2,0),"ĐẬU","RỚT")</f>
        <v>RỚT</v>
      </c>
    </row>
    <row r="9" spans="1:8" x14ac:dyDescent="0.25">
      <c r="A9" s="56">
        <v>2</v>
      </c>
      <c r="B9" s="56" t="s">
        <v>275</v>
      </c>
      <c r="C9" s="56" t="s">
        <v>292</v>
      </c>
      <c r="D9" s="56" t="s">
        <v>244</v>
      </c>
      <c r="E9" s="56" t="str">
        <f t="shared" ref="E9:E19" si="0">IF(MID(B9,2,1)="A","ƯU TIÊN 1",IF(MID(B9,2,1)="B","ƯU TIÊN 2"," "))</f>
        <v xml:space="preserve"> </v>
      </c>
      <c r="F9" s="56" t="str">
        <f t="shared" ref="F9:F19" si="1">HLOOKUP(LEFT(B9,1),$D$3:$F$4,2,0)</f>
        <v>TOÁN</v>
      </c>
      <c r="G9" s="56">
        <v>21</v>
      </c>
      <c r="H9" s="56" t="str">
        <f t="shared" ref="H9:H19" si="2">IF(G9&gt;=HLOOKUP(F9,$D$4:$F$5,2,0),"ĐẬU","RỚT")</f>
        <v>RỚT</v>
      </c>
    </row>
    <row r="10" spans="1:8" x14ac:dyDescent="0.25">
      <c r="A10" s="56">
        <v>3</v>
      </c>
      <c r="B10" s="56" t="s">
        <v>276</v>
      </c>
      <c r="C10" s="56" t="s">
        <v>293</v>
      </c>
      <c r="D10" s="56" t="s">
        <v>287</v>
      </c>
      <c r="E10" s="56" t="str">
        <f t="shared" si="0"/>
        <v>ƯU TIÊN 2</v>
      </c>
      <c r="F10" s="56" t="str">
        <f t="shared" si="1"/>
        <v>TOÁN</v>
      </c>
      <c r="G10" s="56">
        <v>22</v>
      </c>
      <c r="H10" s="56" t="str">
        <f t="shared" si="2"/>
        <v>RỚT</v>
      </c>
    </row>
    <row r="11" spans="1:8" x14ac:dyDescent="0.25">
      <c r="A11" s="56">
        <v>4</v>
      </c>
      <c r="B11" s="56" t="s">
        <v>277</v>
      </c>
      <c r="C11" s="56" t="s">
        <v>294</v>
      </c>
      <c r="D11" s="56" t="s">
        <v>255</v>
      </c>
      <c r="E11" s="56" t="str">
        <f t="shared" si="0"/>
        <v xml:space="preserve"> </v>
      </c>
      <c r="F11" s="56" t="s">
        <v>266</v>
      </c>
      <c r="G11" s="56">
        <v>24</v>
      </c>
      <c r="H11" s="56" t="e">
        <f t="shared" si="2"/>
        <v>#N/A</v>
      </c>
    </row>
    <row r="12" spans="1:8" x14ac:dyDescent="0.25">
      <c r="A12" s="56">
        <v>5</v>
      </c>
      <c r="B12" s="56" t="s">
        <v>278</v>
      </c>
      <c r="C12" s="56" t="s">
        <v>295</v>
      </c>
      <c r="D12" s="56" t="s">
        <v>288</v>
      </c>
      <c r="E12" s="56" t="str">
        <f t="shared" si="0"/>
        <v xml:space="preserve"> </v>
      </c>
      <c r="F12" s="56" t="str">
        <f t="shared" si="1"/>
        <v>TOÁN</v>
      </c>
      <c r="G12" s="56">
        <v>24</v>
      </c>
      <c r="H12" s="56" t="str">
        <f t="shared" si="2"/>
        <v>RỚT</v>
      </c>
    </row>
    <row r="13" spans="1:8" x14ac:dyDescent="0.25">
      <c r="A13" s="56">
        <v>6</v>
      </c>
      <c r="B13" s="56" t="s">
        <v>279</v>
      </c>
      <c r="C13" s="56" t="s">
        <v>296</v>
      </c>
      <c r="D13" s="56" t="s">
        <v>289</v>
      </c>
      <c r="E13" s="56" t="str">
        <f t="shared" si="0"/>
        <v>ƯU TIÊN 1</v>
      </c>
      <c r="F13" s="56" t="s">
        <v>266</v>
      </c>
      <c r="G13" s="56">
        <v>25</v>
      </c>
      <c r="H13" s="56" t="e">
        <f t="shared" si="2"/>
        <v>#N/A</v>
      </c>
    </row>
    <row r="14" spans="1:8" x14ac:dyDescent="0.25">
      <c r="A14" s="56">
        <v>7</v>
      </c>
      <c r="B14" s="56" t="s">
        <v>280</v>
      </c>
      <c r="C14" s="56" t="s">
        <v>297</v>
      </c>
      <c r="D14" s="56" t="s">
        <v>246</v>
      </c>
      <c r="E14" s="56" t="str">
        <f t="shared" si="0"/>
        <v>ƯU TIÊN 1</v>
      </c>
      <c r="F14" s="56" t="str">
        <f t="shared" si="1"/>
        <v>HÓA</v>
      </c>
      <c r="G14" s="56">
        <v>26</v>
      </c>
      <c r="H14" s="56" t="str">
        <f t="shared" si="2"/>
        <v>ĐẬU</v>
      </c>
    </row>
    <row r="15" spans="1:8" x14ac:dyDescent="0.25">
      <c r="A15" s="56">
        <v>8</v>
      </c>
      <c r="B15" s="56" t="s">
        <v>281</v>
      </c>
      <c r="C15" s="56" t="s">
        <v>298</v>
      </c>
      <c r="D15" s="56" t="s">
        <v>290</v>
      </c>
      <c r="E15" s="56" t="str">
        <f t="shared" si="0"/>
        <v>ƯU TIÊN 2</v>
      </c>
      <c r="F15" s="56" t="s">
        <v>266</v>
      </c>
      <c r="G15" s="56">
        <v>27</v>
      </c>
      <c r="H15" s="56" t="e">
        <f t="shared" si="2"/>
        <v>#N/A</v>
      </c>
    </row>
    <row r="16" spans="1:8" x14ac:dyDescent="0.25">
      <c r="A16" s="56">
        <v>9</v>
      </c>
      <c r="B16" s="56" t="s">
        <v>282</v>
      </c>
      <c r="C16" s="56" t="s">
        <v>299</v>
      </c>
      <c r="D16" s="56" t="s">
        <v>254</v>
      </c>
      <c r="E16" s="56" t="str">
        <f t="shared" si="0"/>
        <v xml:space="preserve"> </v>
      </c>
      <c r="F16" s="56" t="str">
        <f t="shared" si="1"/>
        <v>HÓA</v>
      </c>
      <c r="G16" s="56">
        <v>28</v>
      </c>
      <c r="H16" s="56" t="str">
        <f t="shared" si="2"/>
        <v>ĐẬU</v>
      </c>
    </row>
    <row r="17" spans="1:8" x14ac:dyDescent="0.25">
      <c r="A17" s="56">
        <v>10</v>
      </c>
      <c r="B17" s="56" t="s">
        <v>277</v>
      </c>
      <c r="C17" s="56" t="s">
        <v>300</v>
      </c>
      <c r="D17" s="56" t="s">
        <v>291</v>
      </c>
      <c r="E17" s="56" t="str">
        <f t="shared" si="0"/>
        <v xml:space="preserve"> </v>
      </c>
      <c r="F17" s="56" t="s">
        <v>266</v>
      </c>
      <c r="G17" s="56">
        <v>29</v>
      </c>
      <c r="H17" s="56" t="e">
        <f t="shared" si="2"/>
        <v>#N/A</v>
      </c>
    </row>
    <row r="18" spans="1:8" x14ac:dyDescent="0.25">
      <c r="A18" s="56">
        <v>11</v>
      </c>
      <c r="B18" s="56" t="s">
        <v>283</v>
      </c>
      <c r="C18" s="56" t="s">
        <v>301</v>
      </c>
      <c r="D18" s="56" t="s">
        <v>248</v>
      </c>
      <c r="E18" s="56" t="str">
        <f t="shared" si="0"/>
        <v xml:space="preserve"> </v>
      </c>
      <c r="F18" s="56" t="str">
        <f t="shared" si="1"/>
        <v>TOÁN</v>
      </c>
      <c r="G18" s="56">
        <v>30</v>
      </c>
      <c r="H18" s="56" t="str">
        <f t="shared" si="2"/>
        <v>ĐẬU</v>
      </c>
    </row>
    <row r="19" spans="1:8" x14ac:dyDescent="0.25">
      <c r="A19" s="56">
        <v>12</v>
      </c>
      <c r="B19" s="56" t="s">
        <v>284</v>
      </c>
      <c r="C19" s="56" t="s">
        <v>302</v>
      </c>
      <c r="D19" s="56" t="s">
        <v>249</v>
      </c>
      <c r="E19" s="56" t="str">
        <f t="shared" si="0"/>
        <v>ƯU TIÊN 2</v>
      </c>
      <c r="F19" s="56" t="str">
        <f t="shared" si="1"/>
        <v>HÓA</v>
      </c>
      <c r="G19" s="56">
        <v>19</v>
      </c>
      <c r="H19" s="56" t="str">
        <f t="shared" si="2"/>
        <v>RỚT</v>
      </c>
    </row>
    <row r="23" spans="1:8" x14ac:dyDescent="0.25">
      <c r="C23" s="56" t="s">
        <v>265</v>
      </c>
      <c r="D23" s="56" t="s">
        <v>97</v>
      </c>
      <c r="E23" s="56" t="s">
        <v>266</v>
      </c>
      <c r="F23" s="56" t="s">
        <v>99</v>
      </c>
    </row>
    <row r="24" spans="1:8" x14ac:dyDescent="0.25">
      <c r="C24" s="56" t="s">
        <v>303</v>
      </c>
      <c r="D24" s="56">
        <f xml:space="preserve"> COUNTIF(F8:F19,"TOÁN")</f>
        <v>5</v>
      </c>
      <c r="E24" s="56">
        <f>COUNTIF(F8:F19,"LÝ")</f>
        <v>4</v>
      </c>
      <c r="F24" s="56">
        <f>COUNTIF(F8:F19,"HÓA")</f>
        <v>3</v>
      </c>
    </row>
    <row r="25" spans="1:8" x14ac:dyDescent="0.25">
      <c r="C25" s="56" t="s">
        <v>304</v>
      </c>
      <c r="D25" s="56">
        <f xml:space="preserve"> MAX(IF(F8="TOÁN",G8:$G$19))</f>
        <v>30</v>
      </c>
      <c r="E25" s="56">
        <f>MAX(IF(F8="LÝ",G8:G19))</f>
        <v>0</v>
      </c>
      <c r="F25" s="56"/>
    </row>
    <row r="26" spans="1:8" x14ac:dyDescent="0.25">
      <c r="C26" s="56" t="s">
        <v>305</v>
      </c>
      <c r="D26" s="56">
        <f xml:space="preserve"> MIN(IF(F9="TOÁN",G9:$G$19))</f>
        <v>19</v>
      </c>
      <c r="E26" s="56" t="e">
        <f>MIN(IF(F9="LÝ",G9:G20," "))</f>
        <v>#VALUE!</v>
      </c>
      <c r="F26" s="56"/>
    </row>
    <row r="27" spans="1:8" x14ac:dyDescent="0.25">
      <c r="C27" s="56" t="s">
        <v>306</v>
      </c>
      <c r="D27" s="56">
        <f xml:space="preserve"> AVERAGE(IF(F10="TOÁN",G10:$G$19))</f>
        <v>25.4</v>
      </c>
      <c r="E27" s="56">
        <f t="shared" ref="E27" si="3">MAX(IF(F10="LÝ",G10:G21))</f>
        <v>0</v>
      </c>
      <c r="F27" s="56"/>
    </row>
  </sheetData>
  <mergeCells count="1">
    <mergeCell ref="C2:F2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H15" sqref="H15"/>
    </sheetView>
  </sheetViews>
  <sheetFormatPr defaultRowHeight="15" x14ac:dyDescent="0.25"/>
  <cols>
    <col min="2" max="3" width="14" bestFit="1" customWidth="1"/>
    <col min="5" max="5" width="11.85546875" bestFit="1" customWidth="1"/>
    <col min="6" max="6" width="12.42578125" bestFit="1" customWidth="1"/>
    <col min="7" max="7" width="11.140625" bestFit="1" customWidth="1"/>
    <col min="10" max="10" width="24.42578125" bestFit="1" customWidth="1"/>
  </cols>
  <sheetData>
    <row r="1" spans="1:13" x14ac:dyDescent="0.25">
      <c r="A1" t="s">
        <v>262</v>
      </c>
    </row>
    <row r="2" spans="1:13" x14ac:dyDescent="0.25">
      <c r="A2" t="s">
        <v>312</v>
      </c>
      <c r="C2" s="95" t="s">
        <v>263</v>
      </c>
      <c r="D2" s="96"/>
      <c r="E2" s="96"/>
      <c r="F2" s="97"/>
    </row>
    <row r="3" spans="1:13" x14ac:dyDescent="0.25">
      <c r="C3" s="56" t="s">
        <v>264</v>
      </c>
      <c r="D3" s="56" t="s">
        <v>72</v>
      </c>
      <c r="E3" s="56" t="s">
        <v>85</v>
      </c>
      <c r="F3" s="56" t="s">
        <v>69</v>
      </c>
    </row>
    <row r="4" spans="1:13" x14ac:dyDescent="0.25">
      <c r="C4" s="56" t="s">
        <v>265</v>
      </c>
      <c r="D4" s="56" t="s">
        <v>260</v>
      </c>
      <c r="E4" s="56" t="s">
        <v>266</v>
      </c>
      <c r="F4" s="56" t="s">
        <v>99</v>
      </c>
    </row>
    <row r="5" spans="1:13" x14ac:dyDescent="0.25">
      <c r="C5" s="56" t="s">
        <v>267</v>
      </c>
      <c r="D5" s="56">
        <v>25</v>
      </c>
      <c r="E5" s="56">
        <v>24</v>
      </c>
      <c r="F5" s="56">
        <v>22</v>
      </c>
    </row>
    <row r="7" spans="1:13" x14ac:dyDescent="0.25">
      <c r="A7" s="56" t="s">
        <v>49</v>
      </c>
      <c r="B7" s="56" t="s">
        <v>268</v>
      </c>
      <c r="C7" s="56" t="s">
        <v>269</v>
      </c>
      <c r="D7" s="56" t="s">
        <v>261</v>
      </c>
      <c r="E7" s="56" t="s">
        <v>270</v>
      </c>
      <c r="F7" s="56" t="s">
        <v>271</v>
      </c>
      <c r="G7" s="56" t="s">
        <v>272</v>
      </c>
      <c r="H7" s="56" t="s">
        <v>273</v>
      </c>
      <c r="J7" s="56" t="s">
        <v>265</v>
      </c>
      <c r="K7" s="56" t="s">
        <v>260</v>
      </c>
      <c r="L7" s="56" t="s">
        <v>266</v>
      </c>
      <c r="M7" s="56" t="s">
        <v>99</v>
      </c>
    </row>
    <row r="8" spans="1:13" x14ac:dyDescent="0.25">
      <c r="A8" s="56">
        <v>1</v>
      </c>
      <c r="B8" s="56" t="s">
        <v>274</v>
      </c>
      <c r="C8" s="56" t="s">
        <v>285</v>
      </c>
      <c r="D8" s="56" t="s">
        <v>286</v>
      </c>
      <c r="E8" s="56" t="str">
        <f>IF(MID(B8,2,1)="A","ƯU TIÊN 1",IF(MID(B8,2,1)="B","ƯU TIÊN 2"," "))</f>
        <v>ƯU TIÊN 1</v>
      </c>
      <c r="F8" s="56" t="str">
        <f>HLOOKUP(LEFT(B8,1),$D$3:$F$4,2,0)</f>
        <v>TOÁN</v>
      </c>
      <c r="G8" s="56">
        <v>20</v>
      </c>
      <c r="H8" s="56" t="str">
        <f>+IF(AND(F8="HÓA",G8&gt;=22),"ĐẬU",IF(AND(F8="LÝ",G8&gt;=24),"ĐẬU",IF(AND(F8="TOÁN",H4&gt;=25),"ĐẬU","RỚT")))</f>
        <v>RỚT</v>
      </c>
      <c r="J8" s="56" t="s">
        <v>308</v>
      </c>
      <c r="K8" s="56">
        <f>COUNTIF(F8:F19,"TOÁN")</f>
        <v>5</v>
      </c>
      <c r="L8" s="56">
        <f>COUNTIF(F8:F19,"LÝ")</f>
        <v>4</v>
      </c>
      <c r="M8" s="56">
        <f>COUNTIF(F8:F19,"HÓA")</f>
        <v>3</v>
      </c>
    </row>
    <row r="9" spans="1:13" x14ac:dyDescent="0.25">
      <c r="A9" s="56">
        <v>2</v>
      </c>
      <c r="B9" s="56" t="s">
        <v>275</v>
      </c>
      <c r="C9" s="56" t="s">
        <v>292</v>
      </c>
      <c r="D9" s="56" t="s">
        <v>244</v>
      </c>
      <c r="E9" s="56" t="str">
        <f t="shared" ref="E9:E19" si="0">IF(MID(B9,2,1)="A","ƯU TIÊN 1",IF(MID(B9,2,1)="B","ƯU TIÊN 2"," "))</f>
        <v xml:space="preserve"> </v>
      </c>
      <c r="F9" s="56" t="str">
        <f t="shared" ref="F9:F19" si="1">HLOOKUP(LEFT(B9,1),$D$3:$F$4,2,0)</f>
        <v>TOÁN</v>
      </c>
      <c r="G9" s="56">
        <v>21</v>
      </c>
      <c r="H9" s="56" t="str">
        <f t="shared" ref="H9:H19" si="2">+IF(AND(F9="HÓA",G9&gt;=22),"ĐẬU",IF(AND(F9="LÝ",G9&gt;=24),"ĐẬU",IF(AND(F9="TOÁN",H5&gt;=25),"ĐẬU","RỚT")))</f>
        <v>RỚT</v>
      </c>
      <c r="J9" s="56" t="s">
        <v>309</v>
      </c>
      <c r="K9" s="56">
        <f t="array" ref="K9">MAX(IF(F8:F19="TOÁN",G8:G19))</f>
        <v>30</v>
      </c>
      <c r="L9" s="56">
        <f t="array" ref="L9">MAX(IF(F8:F19="LÝ",G8:G19))</f>
        <v>29</v>
      </c>
      <c r="M9" s="56">
        <f t="array" ref="M9">MAX(IF(F8:F19="HÓA",G8:G19))</f>
        <v>28</v>
      </c>
    </row>
    <row r="10" spans="1:13" x14ac:dyDescent="0.25">
      <c r="A10" s="56">
        <v>3</v>
      </c>
      <c r="B10" s="56" t="s">
        <v>276</v>
      </c>
      <c r="C10" s="56" t="s">
        <v>293</v>
      </c>
      <c r="D10" s="56" t="s">
        <v>287</v>
      </c>
      <c r="E10" s="56" t="str">
        <f t="shared" si="0"/>
        <v>ƯU TIÊN 2</v>
      </c>
      <c r="F10" s="56" t="str">
        <f t="shared" si="1"/>
        <v>TOÁN</v>
      </c>
      <c r="G10" s="56">
        <v>22</v>
      </c>
      <c r="H10" s="56" t="str">
        <f t="shared" si="2"/>
        <v>RỚT</v>
      </c>
      <c r="J10" s="56" t="s">
        <v>310</v>
      </c>
      <c r="K10" s="56">
        <f t="array" ref="K10">MIN(IF(F8:F19="TOÁN",G8:G19))</f>
        <v>20</v>
      </c>
      <c r="L10" s="56">
        <f t="array" ref="L10">MIN(IF(F8:F19="LÝ",G8:G19))</f>
        <v>24</v>
      </c>
      <c r="M10" s="56">
        <f t="array" ref="M10">MIN(IF(F8:F19="HÓA",G8:G19))</f>
        <v>19</v>
      </c>
    </row>
    <row r="11" spans="1:13" x14ac:dyDescent="0.25">
      <c r="A11" s="56">
        <v>4</v>
      </c>
      <c r="B11" s="56" t="s">
        <v>277</v>
      </c>
      <c r="C11" s="56" t="s">
        <v>294</v>
      </c>
      <c r="D11" s="56" t="s">
        <v>255</v>
      </c>
      <c r="E11" s="56" t="str">
        <f t="shared" si="0"/>
        <v xml:space="preserve"> </v>
      </c>
      <c r="F11" s="56" t="str">
        <f t="shared" si="1"/>
        <v>LÝ</v>
      </c>
      <c r="G11" s="56">
        <v>24</v>
      </c>
      <c r="H11" s="56" t="str">
        <f t="shared" si="2"/>
        <v>ĐẬU</v>
      </c>
      <c r="J11" s="56" t="s">
        <v>311</v>
      </c>
      <c r="K11" s="56">
        <f t="array" ref="K11">AVERAGE(IF(F8:F19="TOÁN",G8:G19))</f>
        <v>23.4</v>
      </c>
      <c r="L11" s="56">
        <f t="array" ref="L11">AVERAGE(IF(F8:F19="LÝ",G8:G19))</f>
        <v>26.25</v>
      </c>
      <c r="M11" s="56">
        <f t="array" ref="M11">AVERAGE(IF(F8:F19="HÓA",G8:G19))</f>
        <v>24.333333333333332</v>
      </c>
    </row>
    <row r="12" spans="1:13" x14ac:dyDescent="0.25">
      <c r="A12" s="56">
        <v>5</v>
      </c>
      <c r="B12" s="56" t="s">
        <v>278</v>
      </c>
      <c r="C12" s="56" t="s">
        <v>295</v>
      </c>
      <c r="D12" s="56" t="s">
        <v>288</v>
      </c>
      <c r="E12" s="56" t="str">
        <f t="shared" si="0"/>
        <v xml:space="preserve"> </v>
      </c>
      <c r="F12" s="56" t="str">
        <f t="shared" si="1"/>
        <v>TOÁN</v>
      </c>
      <c r="G12" s="56">
        <v>24</v>
      </c>
      <c r="H12" s="56" t="str">
        <f t="shared" si="2"/>
        <v>ĐẬU</v>
      </c>
    </row>
    <row r="13" spans="1:13" x14ac:dyDescent="0.25">
      <c r="A13" s="56">
        <v>6</v>
      </c>
      <c r="B13" s="56" t="s">
        <v>279</v>
      </c>
      <c r="C13" s="56" t="s">
        <v>296</v>
      </c>
      <c r="D13" s="56" t="s">
        <v>289</v>
      </c>
      <c r="E13" s="56" t="str">
        <f t="shared" si="0"/>
        <v>ƯU TIÊN 1</v>
      </c>
      <c r="F13" s="56" t="str">
        <f t="shared" si="1"/>
        <v>LÝ</v>
      </c>
      <c r="G13" s="56">
        <v>25</v>
      </c>
      <c r="H13" s="56" t="str">
        <f t="shared" si="2"/>
        <v>ĐẬU</v>
      </c>
    </row>
    <row r="14" spans="1:13" x14ac:dyDescent="0.25">
      <c r="A14" s="56">
        <v>7</v>
      </c>
      <c r="B14" s="56" t="s">
        <v>280</v>
      </c>
      <c r="C14" s="56" t="s">
        <v>297</v>
      </c>
      <c r="D14" s="56" t="s">
        <v>246</v>
      </c>
      <c r="E14" s="56" t="str">
        <f t="shared" si="0"/>
        <v>ƯU TIÊN 1</v>
      </c>
      <c r="F14" s="56" t="str">
        <f t="shared" si="1"/>
        <v>HÓA</v>
      </c>
      <c r="G14" s="56">
        <v>26</v>
      </c>
      <c r="H14" s="56" t="str">
        <f t="shared" si="2"/>
        <v>ĐẬU</v>
      </c>
    </row>
    <row r="15" spans="1:13" x14ac:dyDescent="0.25">
      <c r="A15" s="56">
        <v>8</v>
      </c>
      <c r="B15" s="56" t="s">
        <v>281</v>
      </c>
      <c r="C15" s="56" t="s">
        <v>298</v>
      </c>
      <c r="D15" s="56" t="s">
        <v>290</v>
      </c>
      <c r="E15" s="56" t="str">
        <f t="shared" si="0"/>
        <v>ƯU TIÊN 2</v>
      </c>
      <c r="F15" s="56" t="str">
        <f t="shared" si="1"/>
        <v>LÝ</v>
      </c>
      <c r="G15" s="56">
        <v>27</v>
      </c>
      <c r="H15" s="56" t="str">
        <f t="shared" si="2"/>
        <v>ĐẬU</v>
      </c>
    </row>
    <row r="16" spans="1:13" x14ac:dyDescent="0.25">
      <c r="A16" s="56">
        <v>9</v>
      </c>
      <c r="B16" s="56" t="s">
        <v>282</v>
      </c>
      <c r="C16" s="56" t="s">
        <v>299</v>
      </c>
      <c r="D16" s="56" t="s">
        <v>254</v>
      </c>
      <c r="E16" s="56" t="str">
        <f t="shared" si="0"/>
        <v xml:space="preserve"> </v>
      </c>
      <c r="F16" s="56" t="str">
        <f t="shared" si="1"/>
        <v>HÓA</v>
      </c>
      <c r="G16" s="56">
        <v>28</v>
      </c>
      <c r="H16" s="56" t="str">
        <f t="shared" si="2"/>
        <v>ĐẬU</v>
      </c>
    </row>
    <row r="17" spans="1:8" x14ac:dyDescent="0.25">
      <c r="A17" s="56">
        <v>10</v>
      </c>
      <c r="B17" s="56" t="s">
        <v>277</v>
      </c>
      <c r="C17" s="56" t="s">
        <v>300</v>
      </c>
      <c r="D17" s="56" t="s">
        <v>291</v>
      </c>
      <c r="E17" s="56" t="str">
        <f t="shared" si="0"/>
        <v xml:space="preserve"> </v>
      </c>
      <c r="F17" s="56" t="str">
        <f t="shared" si="1"/>
        <v>LÝ</v>
      </c>
      <c r="G17" s="56">
        <v>29</v>
      </c>
      <c r="H17" s="56" t="str">
        <f t="shared" si="2"/>
        <v>ĐẬU</v>
      </c>
    </row>
    <row r="18" spans="1:8" x14ac:dyDescent="0.25">
      <c r="A18" s="56">
        <v>11</v>
      </c>
      <c r="B18" s="56" t="s">
        <v>283</v>
      </c>
      <c r="C18" s="56" t="s">
        <v>301</v>
      </c>
      <c r="D18" s="56" t="s">
        <v>248</v>
      </c>
      <c r="E18" s="56" t="str">
        <f t="shared" si="0"/>
        <v xml:space="preserve"> </v>
      </c>
      <c r="F18" s="56" t="str">
        <f t="shared" si="1"/>
        <v>TOÁN</v>
      </c>
      <c r="G18" s="56">
        <v>30</v>
      </c>
      <c r="H18" s="56" t="str">
        <f t="shared" si="2"/>
        <v>ĐẬU</v>
      </c>
    </row>
    <row r="19" spans="1:8" x14ac:dyDescent="0.25">
      <c r="A19" s="56">
        <v>12</v>
      </c>
      <c r="B19" s="56" t="s">
        <v>284</v>
      </c>
      <c r="C19" s="56" t="s">
        <v>302</v>
      </c>
      <c r="D19" s="56" t="s">
        <v>249</v>
      </c>
      <c r="E19" s="56" t="str">
        <f t="shared" si="0"/>
        <v>ƯU TIÊN 2</v>
      </c>
      <c r="F19" s="56" t="str">
        <f t="shared" si="1"/>
        <v>HÓA</v>
      </c>
      <c r="G19" s="56">
        <v>19</v>
      </c>
      <c r="H19" s="56" t="str">
        <f t="shared" si="2"/>
        <v>RỚT</v>
      </c>
    </row>
  </sheetData>
  <mergeCells count="1">
    <mergeCell ref="C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(BÀI MẪU)</vt:lpstr>
      <vt:lpstr>30</vt:lpstr>
      <vt:lpstr>31</vt:lpstr>
      <vt:lpstr>32</vt:lpstr>
      <vt:lpstr>34</vt:lpstr>
      <vt:lpstr>35-1</vt:lpstr>
      <vt:lpstr>37</vt:lpstr>
      <vt:lpstr>39</vt:lpstr>
      <vt:lpstr>40</vt:lpstr>
      <vt:lpstr>35-2</vt:lpstr>
      <vt:lpstr>41</vt:lpstr>
      <vt:lpstr>43(SUBTOTAL)</vt:lpstr>
      <vt:lpstr>45</vt:lpstr>
      <vt:lpstr>47(TIỀN PHÒNG)</vt:lpstr>
      <vt:lpstr> 68</vt:lpstr>
      <vt:lpstr>49-50</vt:lpstr>
      <vt:lpstr>47</vt:lpstr>
      <vt:lpstr>48</vt:lpstr>
      <vt:lpstr>51</vt:lpstr>
      <vt:lpstr>30(XONG)</vt:lpstr>
      <vt:lpstr>41(CHƯA)</vt:lpstr>
      <vt:lpstr>46(SỬA)</vt:lpstr>
      <vt:lpstr>46(XONG)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uyentrang</dc:creator>
  <cp:lastModifiedBy>uyentrang</cp:lastModifiedBy>
  <cp:lastPrinted>2019-02-25T16:18:39Z</cp:lastPrinted>
  <dcterms:created xsi:type="dcterms:W3CDTF">2019-01-30T17:49:14Z</dcterms:created>
  <dcterms:modified xsi:type="dcterms:W3CDTF">2019-03-02T04:59:14Z</dcterms:modified>
</cp:coreProperties>
</file>